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AOKhOCBLIhyGn0D4YsSZW+G6h+ckpDnTXUv4DbvkqaStcSs4neX+StBzkzay8BLq6CiVhoTwb7UOUxXXVPiFtA==" workbookSaltValue="RUFDZzSvkRxi4FZJYektp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EP21" i="8"/>
  <c r="ER21" i="13"/>
  <c r="AL14" i="16"/>
  <c r="EP21" i="19"/>
  <c r="BH19" i="11"/>
  <c r="BF10"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U17" i="17"/>
  <c r="BV9" i="16"/>
  <c r="T14" i="16"/>
  <c r="AA16" i="16"/>
  <c r="S11" i="14"/>
  <c r="V11" i="14" s="1"/>
  <c r="T17" i="11"/>
  <c r="BG12" i="11"/>
  <c r="Q18" i="17"/>
  <c r="BH10" i="11"/>
  <c r="BI9" i="11"/>
  <c r="AQ10" i="21"/>
  <c r="S10" i="17"/>
  <c r="BH10" i="16"/>
  <c r="Q16" i="17"/>
  <c r="BM18" i="11"/>
  <c r="BF16" i="11"/>
  <c r="BH17" i="11"/>
  <c r="AQ12" i="21"/>
  <c r="BJ17" i="11"/>
  <c r="BL17" i="11"/>
  <c r="AY20" i="8"/>
  <c r="BF16" i="8"/>
  <c r="AY14" i="8"/>
  <c r="BG16" i="8"/>
  <c r="K16" i="7" s="1"/>
  <c r="BD9" i="8"/>
  <c r="BE9" i="8"/>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E21" i="8" l="1"/>
  <c r="E14" i="17"/>
  <c r="R21" i="8"/>
  <c r="F13" i="2"/>
  <c r="H12" i="2"/>
  <c r="B19" i="6"/>
  <c r="M20" i="2"/>
  <c r="N20" i="2"/>
  <c r="F11" i="16"/>
  <c r="BL11" i="16" s="1"/>
  <c r="BU18" i="17"/>
  <c r="U10" i="17"/>
  <c r="U13" i="17"/>
  <c r="BW17" i="20"/>
  <c r="BW13" i="20"/>
  <c r="BW9" i="20"/>
  <c r="BU16" i="17"/>
  <c r="T18" i="16"/>
  <c r="BG19" i="11"/>
  <c r="AQ14" i="21"/>
  <c r="BG16" i="11"/>
  <c r="BJ12" i="11"/>
  <c r="BI19" i="11"/>
  <c r="S9" i="14"/>
  <c r="V9" i="14" s="1"/>
  <c r="BM12" i="11"/>
  <c r="S9" i="17"/>
  <c r="BK9" i="11"/>
  <c r="X12" i="21"/>
  <c r="AP17" i="20"/>
  <c r="BH9" i="16"/>
  <c r="BL19" i="11"/>
  <c r="BK13" i="11"/>
  <c r="BH18"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9" i="11"/>
  <c r="BG10" i="11"/>
  <c r="BH16" i="16"/>
  <c r="BM17" i="11"/>
  <c r="Q18" i="20"/>
  <c r="Q20" i="20" s="1"/>
  <c r="V11" i="16"/>
  <c r="BF18" i="1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9" i="12" l="1"/>
  <c r="I12"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<sst xmlns="http://schemas.openxmlformats.org/spreadsheetml/2006/main" count="2215" uniqueCount="979">
  <si>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</si>
  <si>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</si>
  <si>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</si>
  <si>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</si>
  <si>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</si>
  <si>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</si>
  <si>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</si>
  <si>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</si>
  <si>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</si>
  <si>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</si>
  <si>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</si>
  <si>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</si>
  <si>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</si>
  <si>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</si>
  <si>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</si>
  <si>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</si>
  <si>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</si>
  <si>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</si>
  <si>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</si>
  <si>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</si>
  <si>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</si>
  <si>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</si>
  <si>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</si>
  <si>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</si>
  <si>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</si>
  <si>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</si>
  <si>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</si>
  <si>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</si>
  <si>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</si>
  <si>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</si>
  <si>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</si>
  <si>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</si>
  <si>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</si>
  <si>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</si>
  <si>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</si>
  <si>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</si>
  <si>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</si>
  <si>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</si>
  <si>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</si>
  <si>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</si>
  <si>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</si>
  <si>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</si>
  <si>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</si>
  <si>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</si>
  <si>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</si>
  <si>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</si>
  <si>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</si>
  <si>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</si>
  <si>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</si>
  <si>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</si>
  <si>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</si>
  <si>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</si>
  <si>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</si>
  <si>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</si>
  <si>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</si>
  <si>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</si>
  <si>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</si>
  <si>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</si>
  <si>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</si>
  <si>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</si>
  <si>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</si>
  <si>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</si>
  <si>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</si>
  <si>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</si>
  <si>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</si>
  <si>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</si>
  <si>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</si>
  <si>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</si>
  <si>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</si>
  <si>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</si>
  <si>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</si>
  <si>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</si>
  <si>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</si>
  <si>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</si>
  <si>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</si>
  <si>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</si>
  <si>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</si>
  <si>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</si>
  <si>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</si>
  <si>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</si>
  <si>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</si>
  <si>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</si>
  <si>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</si>
  <si>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</si>
  <si>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</si>
  <si>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</si>
  <si>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</si>
  <si>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</si>
  <si>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</si>
  <si>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</si>
  <si>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</si>
  <si>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</si>
  <si>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</si>
  <si>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</si>
  <si>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</si>
  <si>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</si>
  <si>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</si>
  <si>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</si>
  <si>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</si>
  <si>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</si>
  <si>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</si>
  <si>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</si>
  <si>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</si>
  <si>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</si>
  <si>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</si>
  <si>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</si>
  <si>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</si>
  <si>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</si>
  <si>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</si>
  <si>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</si>
  <si>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</si>
  <si>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</si>
  <si>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</si>
  <si>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</si>
  <si>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</si>
  <si>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</si>
  <si>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</si>
  <si>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</si>
  <si>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</si>
  <si>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</si>
  <si>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</si>
  <si>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</si>
  <si>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</si>
  <si>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</si>
  <si>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</si>
  <si>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</si>
  <si>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</si>
  <si>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</si>
  <si>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</si>
  <si>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</si>
  <si>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</si>
  <si>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</si>
  <si>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</si>
  <si>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</si>
  <si>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</si>
  <si>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</si>
  <si>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</si>
  <si>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</si>
  <si>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</si>
  <si>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</si>
  <si>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</si>
  <si>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</si>
  <si>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</si>
  <si>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</si>
  <si>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</si>
  <si>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</si>
  <si>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</si>
  <si>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</si>
  <si>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</si>
  <si>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</si>
  <si>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</si>
  <si>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</si>
  <si>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</si>
  <si>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</si>
  <si>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</si>
  <si>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</si>
  <si>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</si>
  <si>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</si>
  <si>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</si>
  <si>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</si>
  <si>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</si>
  <si>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</si>
  <si>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</si>
  <si>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</si>
  <si>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</si>
  <si>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</si>
  <si>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</si>
  <si>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</si>
  <si>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</si>
  <si>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</si>
  <si>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</si>
  <si>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</si>
  <si>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</si>
  <si>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</si>
  <si>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</si>
  <si>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</si>
  <si>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</si>
  <si>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</si>
  <si>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</si>
  <si>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</si>
  <si>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</si>
  <si>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</si>
  <si>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</si>
  <si>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</si>
  <si>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</si>
  <si>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</si>
  <si>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</si>
  <si>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</si>
  <si>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</si>
  <si>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</si>
  <si>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</si>
  <si>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</si>
  <si>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</si>
  <si>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</si>
  <si>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</si>
  <si>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</si>
  <si>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</si>
  <si>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</si>
  <si>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</si>
  <si>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</si>
  <si>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</si>
  <si>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</si>
  <si>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</si>
  <si>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</si>
  <si>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</si>
  <si>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</si>
  <si>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</si>
  <si>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</si>
  <si>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</si>
  <si>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</si>
  <si>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</si>
  <si>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</si>
  <si>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</si>
  <si>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</si>
  <si>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</si>
  <si>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</si>
  <si>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</si>
  <si>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</si>
  <si>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</si>
  <si>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</si>
  <si>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</si>
  <si>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</si>
  <si>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</si>
  <si>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</si>
  <si>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</si>
  <si>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</si>
  <si>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</si>
  <si>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</si>
  <si>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</si>
  <si>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</si>
  <si>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</si>
  <si>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</si>
  <si>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</si>
  <si>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</si>
  <si>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</si>
  <si>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</si>
  <si>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</si>
  <si>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</si>
  <si>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</si>
  <si>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</si>
  <si>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</si>
  <si>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</si>
  <si>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</si>
  <si>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</si>
  <si>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</si>
  <si>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</si>
  <si>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</si>
  <si>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</si>
  <si>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</si>
  <si>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</si>
  <si>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</si>
  <si>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</si>
  <si>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</si>
  <si>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</si>
  <si>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</si>
  <si>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</si>
  <si>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</si>
  <si>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</si>
  <si>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</si>
  <si>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</si>
  <si>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</si>
  <si>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</si>
  <si>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</si>
  <si>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</si>
  <si>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</si>
  <si>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</si>
  <si>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</si>
  <si>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</si>
  <si>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</si>
  <si>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</si>
  <si>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</si>
  <si>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</si>
  <si>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</si>
  <si>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</si>
  <si>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</si>
  <si>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</si>
  <si>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</si>
  <si>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</si>
  <si>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</si>
  <si>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</si>
  <si>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</si>
  <si>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</si>
  <si>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</si>
  <si>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</si>
  <si>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</si>
  <si>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</si>
  <si>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</si>
  <si>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</si>
  <si>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</si>
  <si>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</si>
  <si>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</si>
  <si>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</si>
  <si>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</si>
  <si>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</si>
  <si>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</si>
  <si>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</si>
  <si>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</si>
  <si>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</si>
  <si>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</si>
  <si>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</si>
  <si>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</si>
  <si>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</si>
  <si>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</si>
  <si>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</si>
  <si>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</si>
  <si>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</si>
  <si>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</si>
  <si>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</si>
  <si>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</si>
  <si>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</si>
  <si>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</si>
  <si>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</si>
  <si>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</si>
  <si>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</si>
  <si>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</si>
  <si>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</si>
  <si>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</si>
  <si>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</si>
  <si>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</si>
  <si>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</si>
  <si>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</si>
  <si>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</si>
  <si>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</si>
  <si>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</si>
  <si>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</si>
  <si>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</si>
  <si>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</si>
  <si>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</si>
  <si>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</si>
  <si>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</si>
  <si>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</si>
  <si>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</si>
  <si>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</si>
  <si>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</si>
  <si>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</si>
  <si>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</si>
  <si>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</si>
  <si>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</si>
  <si>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</si>
  <si>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</si>
  <si>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</si>
  <si>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</si>
  <si>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</si>
  <si>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</si>
  <si>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</si>
  <si>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</si>
  <si>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</si>
  <si>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</si>
  <si>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</si>
  <si>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</si>
  <si>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</si>
  <si>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</si>
  <si>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</si>
  <si>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</si>
  <si>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</si>
  <si>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</si>
  <si>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</si>
  <si>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</si>
  <si>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</si>
  <si>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</si>
  <si>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</si>
  <si>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</si>
  <si>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</si>
  <si>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</si>
  <si>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</si>
  <si>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</si>
  <si>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</si>
  <si>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</si>
  <si>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</si>
  <si>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</si>
  <si>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</si>
  <si>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</si>
  <si>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</si>
  <si>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</si>
  <si>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</si>
  <si>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</si>
  <si>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</si>
  <si>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</si>
  <si>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</si>
  <si>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</si>
  <si>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</si>
  <si>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</si>
  <si>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</si>
  <si>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</si>
  <si>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</si>
  <si>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</si>
  <si>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</si>
  <si>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</si>
  <si>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</si>
  <si>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</si>
  <si>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</si>
  <si>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</si>
  <si>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</si>
  <si>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</si>
  <si>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</si>
  <si>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</si>
  <si>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</si>
  <si>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</si>
  <si>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</si>
  <si>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</si>
  <si>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</si>
  <si>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</si>
  <si>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</si>
  <si>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</si>
  <si>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</si>
  <si>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</si>
  <si>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</si>
  <si>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</si>
  <si>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</si>
  <si>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</si>
  <si>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</si>
  <si>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</si>
  <si>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</si>
  <si>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</si>
  <si>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</si>
  <si>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</si>
  <si>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</si>
  <si>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</si>
  <si>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</si>
  <si>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</si>
  <si>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</si>
  <si>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</si>
  <si>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</si>
  <si>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</si>
  <si>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</si>
  <si>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</si>
  <si>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</si>
  <si>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</si>
  <si>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</si>
  <si>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</si>
  <si>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</si>
  <si>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</si>
  <si>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</si>
  <si>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</si>
  <si>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</si>
  <si>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</si>
  <si>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</si>
  <si>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</si>
  <si>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</si>
  <si>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</si>
  <si>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</si>
  <si>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</si>
  <si>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</si>
  <si>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</si>
  <si>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</si>
  <si>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</si>
  <si>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</si>
  <si>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</si>
  <si>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</si>
  <si>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</si>
  <si>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</si>
  <si>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</si>
  <si>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</si>
  <si>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</si>
  <si>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</si>
  <si>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</si>
  <si>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</si>
  <si>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</si>
  <si>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</si>
  <si>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</si>
  <si>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</si>
  <si>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</si>
  <si>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</si>
  <si>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</si>
  <si>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</si>
  <si>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</si>
  <si>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</si>
  <si>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</si>
  <si>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</si>
  <si>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</si>
  <si>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</si>
  <si>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</si>
  <si>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</si>
  <si>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</si>
  <si>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</si>
  <si>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</si>
  <si>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</si>
  <si>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</si>
  <si>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</si>
  <si>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</si>
  <si>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</si>
  <si>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</si>
  <si>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</si>
  <si>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</si>
  <si>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</si>
  <si>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</si>
  <si>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</si>
  <si>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</si>
  <si>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</si>
  <si>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</si>
  <si>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</si>
  <si>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</si>
  <si>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</si>
  <si>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</si>
  <si>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</si>
  <si>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</si>
  <si>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</si>
  <si>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</si>
  <si>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</si>
  <si>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</si>
  <si>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</si>
  <si>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</si>
  <si>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</si>
  <si>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</si>
  <si>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</si>
  <si>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</si>
  <si>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</si>
  <si>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</si>
  <si>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</si>
  <si>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</si>
  <si>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</si>
  <si>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</si>
  <si>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</si>
  <si>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</si>
  <si>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</si>
  <si>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</si>
  <si>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</si>
  <si>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</si>
  <si>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</si>
  <si>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</si>
  <si>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</si>
  <si>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</si>
  <si>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</si>
  <si>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</si>
  <si>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</si>
  <si>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</si>
  <si>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</si>
  <si>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</si>
  <si>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</si>
  <si>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</si>
  <si>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</si>
  <si>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</si>
  <si>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</si>
  <si>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</si>
  <si>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</si>
  <si>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</si>
  <si>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</si>
  <si>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</si>
  <si>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</si>
  <si>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</si>
  <si>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</si>
  <si>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</si>
  <si>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</si>
  <si>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</si>
  <si>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</si>
  <si>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</si>
  <si>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</si>
  <si>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</si>
  <si>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</si>
  <si>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</si>
  <si>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</si>
  <si>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</si>
  <si>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</si>
  <si>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</si>
  <si>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</si>
  <si>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</si>
  <si>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</si>
  <si>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</si>
  <si>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</si>
  <si>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</si>
  <si>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</si>
  <si>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</si>
  <si>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</si>
  <si>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</si>
  <si>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</si>
  <si>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</si>
  <si>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</si>
  <si>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</si>
  <si>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</si>
  <si>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</si>
  <si>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</si>
  <si>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</si>
  <si>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</si>
  <si>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</si>
  <si>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</si>
  <si>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</si>
  <si>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</si>
  <si>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</si>
  <si>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</si>
  <si>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</si>
  <si>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</si>
  <si>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</si>
  <si>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</si>
  <si>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</si>
  <si>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</si>
  <si>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</si>
  <si>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</si>
  <si>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</si>
  <si>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</si>
  <si>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</si>
  <si>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</si>
  <si>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</si>
  <si>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</si>
  <si>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</si>
  <si>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</si>
  <si>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</si>
  <si>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</si>
  <si>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</si>
  <si>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</si>
  <si>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</si>
  <si>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</si>
  <si>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</si>
  <si>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</si>
  <si>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</si>
  <si>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</si>
  <si>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</si>
  <si>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</si>
  <si>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</si>
  <si>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</si>
  <si>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</si>
  <si>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</si>
  <si>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</si>
  <si>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</si>
  <si>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</si>
  <si>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</si>
  <si>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</si>
  <si>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</si>
  <si>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</si>
  <si>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</si>
  <si>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</si>
  <si>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</si>
  <si>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</si>
  <si>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</si>
  <si>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</si>
  <si>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</si>
  <si>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</si>
  <si>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</si>
  <si>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</si>
  <si>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</si>
  <si>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</si>
  <si>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</si>
  <si>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</si>
  <si>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</si>
  <si>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</si>
  <si>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</si>
  <si>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</si>
  <si>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</si>
  <si>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</si>
  <si>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</si>
  <si>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</si>
  <si>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</si>
  <si>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</si>
  <si>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</si>
  <si>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</si>
  <si>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</si>
  <si>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</si>
  <si>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</si>
  <si>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</si>
  <si>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</si>
  <si>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</si>
  <si>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</si>
  <si>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</si>
  <si>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</si>
  <si>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</si>
  <si>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</si>
  <si>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</si>
  <si>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</si>
  <si>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</si>
  <si>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</si>
  <si>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</si>
  <si>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</si>
  <si>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</si>
  <si>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</si>
  <si>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</si>
  <si>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</si>
  <si>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</si>
  <si>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</si>
  <si>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</si>
  <si>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</si>
  <si>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</si>
  <si>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</si>
  <si>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</si>
  <si>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</si>
  <si>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</si>
  <si>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</si>
  <si>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</si>
  <si>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</si>
  <si>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</si>
  <si>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</si>
  <si>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</si>
  <si>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</si>
  <si>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</si>
  <si>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</si>
  <si>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</si>
  <si>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</si>
  <si>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</si>
  <si>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</si>
  <si>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</si>
  <si>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</si>
  <si>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</si>
  <si>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</si>
  <si>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</si>
  <si>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</si>
  <si>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</si>
  <si>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</si>
  <si>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</si>
  <si>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</si>
  <si>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</si>
  <si>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</si>
  <si>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</si>
  <si>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</si>
  <si>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</si>
  <si>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</si>
  <si>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</si>
  <si>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</si>
  <si>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</si>
  <si>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</si>
  <si>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</si>
  <si>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</si>
  <si>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</si>
  <si>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</si>
  <si>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</si>
  <si>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</si>
  <si>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</si>
  <si>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</si>
  <si>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</si>
  <si>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</si>
  <si>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</si>
  <si>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</si>
  <si>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</si>
  <si>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</si>
  <si>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</si>
  <si>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</si>
  <si>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</si>
  <si>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</si>
  <si>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</si>
  <si>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</si>
  <si>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</si>
  <si>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</si>
  <si>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</si>
  <si>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</si>
  <si>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</si>
  <si>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</si>
  <si>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</si>
  <si>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</si>
  <si>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</si>
  <si>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</si>
  <si>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</si>
  <si>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</si>
  <si>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</si>
  <si>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</si>
  <si>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</si>
  <si>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</si>
  <si>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</si>
  <si>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</si>
  <si>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</si>
  <si>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</si>
  <si>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</si>
  <si>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</si>
  <si>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</si>
  <si>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</si>
  <si>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</si>
  <si>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</si>
  <si>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</si>
  <si>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</si>
  <si>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</si>
  <si>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</si>
  <si>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</si>
  <si>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</si>
  <si>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</si>
  <si>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</si>
  <si>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</si>
  <si>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</si>
  <si>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</si>
  <si>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</si>
  <si>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</si>
  <si>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</si>
  <si>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</si>
  <si>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</si>
  <si>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</si>
  <si>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</si>
  <si>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</si>
  <si>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</si>
  <si>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</si>
  <si>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</si>
  <si>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</si>
  <si>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</si>
  <si>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</si>
  <si>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</si>
  <si>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</si>
  <si>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</si>
  <si>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</si>
  <si>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</si>
  <si>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</si>
  <si>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</si>
  <si>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</si>
  <si>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</si>
  <si>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</si>
  <si>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</si>
  <si>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</si>
  <si>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</si>
  <si>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</si>
  <si>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</si>
  <si>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</si>
  <si>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</si>
  <si>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</si>
  <si>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</si>
  <si>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</si>
  <si>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</si>
  <si>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</si>
  <si>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</si>
  <si>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</si>
  <si>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</si>
  <si>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</si>
  <si>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</si>
  <si>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</si>
  <si>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</si>
  <si>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</si>
  <si>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</si>
  <si>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</si>
  <si>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</si>
  <si>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</si>
  <si>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</si>
  <si>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</si>
  <si>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</si>
  <si>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</si>
  <si>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</si>
  <si>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</si>
  <si>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</si>
  <si>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</si>
  <si>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</si>
  <si>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</si>
  <si>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</si>
  <si>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</si>
  <si>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</si>
  <si>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</si>
  <si>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</si>
  <si>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</si>
  <si>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</si>
  <si>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</si>
  <si>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</si>
  <si>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</si>
  <si>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</si>
  <si>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</si>
  <si>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</si>
  <si>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</si>
  <si>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</si>
  <si>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</si>
  <si>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</si>
  <si>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</si>
  <si>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</si>
  <si>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</si>
  <si>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</si>
  <si>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</si>
  <si>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</si>
  <si>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</si>
  <si>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</si>
  <si>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</si>
  <si>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</si>
  <si>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</si>
  <si>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</si>
  <si>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</si>
  <si>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</si>
  <si>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</si>
  <si>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</si>
  <si>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</si>
  <si>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</si>
  <si>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</si>
  <si>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</si>
  <si>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</si>
  <si>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</si>
  <si>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</si>
  <si>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</si>
  <si>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</si>
  <si>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</si>
  <si>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</si>
  <si>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</si>
  <si>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</si>
  <si>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</si>
  <si>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</si>
  <si>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</si>
  <si>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</si>
  <si>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</si>
  <si>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</si>
  <si>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</si>
  <si>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</si>
  <si>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</si>
  <si>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</si>
  <si>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</si>
  <si>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</si>
  <si>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</si>
  <si>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</si>
  <si>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</si>
  <si>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</si>
  <si>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</si>
  <si>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</si>
  <si>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</si>
  <si>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</si>
  <si>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</si>
  <si>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</si>
  <si>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</si>
  <si>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</si>
  <si>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</si>
  <si>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</si>
  <si>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</si>
  <si>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</si>
  <si>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</si>
  <si>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</si>
  <si>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</si>
  <si>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</si>
  <si>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</si>
  <si>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</si>
  <si>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</si>
  <si>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</si>
  <si>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</si>
  <si>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</si>
  <si>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</si>
  <si>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</si>
  <si>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</si>
  <si>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</si>
  <si>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</si>
  <si>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</si>
  <si>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</si>
  <si>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</si>
  <si>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</si>
  <si>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</si>
  <si>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</si>
  <si>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</si>
  <si>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</si>
  <si>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</si>
  <si>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</si>
  <si>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</si>
  <si>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</si>
  <si>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</si>
  <si>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</si>
  <si>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</si>
  <si>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</si>
  <si>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</si>
  <si>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</si>
  <si>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</si>
  <si>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</si>
  <si>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</si>
  <si>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</si>
  <si>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</si>
  <si>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</si>
  <si>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</si>
  <si>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</si>
  <si>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</si>
  <si>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</si>
  <si>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</si>
  <si>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</si>
  <si>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</si>
  <si>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</si>
  <si>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</si>
  <si>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</si>
  <si>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</si>
  <si>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</si>
  <si>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</si>
  <si>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</si>
  <si>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</si>
  <si>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</si>
  <si>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</si>
  <si>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</si>
  <si>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</si>
  <si>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</si>
  <si>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</si>
  <si>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</si>
  <si>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</si>
  <si>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</si>
  <si>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</si>
  <si>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</si>
  <si>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</si>
  <si>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</si>
  <si>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</si>
  <si>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</si>
  <si>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</si>
  <si>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</si>
  <si>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</si>
  <si>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</si>
  <si>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</si>
  <si>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</si>
  <si>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</si>
  <si>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</si>
  <si>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</si>
  <si>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</si>
  <si>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</si>
  <si>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PONTEVEDRA</t>
  </si>
  <si>
    <t>Resumenes por Partidos Judiciales</t>
  </si>
  <si>
    <t>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</si>
</sst>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rREzWF2RAiNBenJC6G1G+IjzKtlxTZJsVwPFe3aeSq+i3kX4auAbg9XPgRVDqsFbjquK7q8UiYu9ZeIxhOnZsw==" saltValue="7tBPnekfT9o2PvUFnrbh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13</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35.679741935483868</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61</v>
      </c>
      <c r="D10" s="230">
        <f>IF(ISNUMBER(Datos!I10),Datos!I10," - ")</f>
        <v>61</v>
      </c>
      <c r="E10" s="231">
        <f>IF(ISNUMBER(Datos!J10),Datos!J10," - ")</f>
        <v>22</v>
      </c>
      <c r="F10" s="231">
        <f>IF(ISNUMBER(Datos!K10),Datos!K10," - ")</f>
        <v>11</v>
      </c>
      <c r="G10" s="1193" t="str">
        <f>IF(Datos!E10&lt;&gt;"",Datos!E10,Datos!D10)</f>
        <v>37</v>
      </c>
      <c r="H10" s="232">
        <f>IF(ISNUMBER(Datos!L10),Datos!L10," - ")</f>
        <v>72</v>
      </c>
      <c r="I10" s="1203" t="str">
        <f>IF(ISNUMBER(Datos!AS10/Datos!BM10),Datos!AS10/Datos!BM10," - ")</f>
        <v xml:space="preserve"> - </v>
      </c>
      <c r="J10" s="1204">
        <f>IF(ISNUMBER(Datos!BY10/Datos!CN10),Datos!BY10/Datos!CN10," - ")</f>
        <v>0</v>
      </c>
      <c r="K10" s="235">
        <f t="shared" ref="K10:K13" si="1">IF(ISNUMBER((E10-F10)/C10),(E10-F10)/C10," - ")</f>
        <v>0.18032786885245902</v>
      </c>
      <c r="L10" s="1205">
        <f>IF(ISNUMBER(NºAsuntos!I10/NºAsuntos!G10),(NºAsuntos!I10/NºAsuntos!G10)*11," - ")</f>
        <v>72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3</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22.794444444444448</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61</v>
      </c>
      <c r="D14" s="1210">
        <f>SUBTOTAL(9,D9:D13)</f>
        <v>61</v>
      </c>
      <c r="E14" s="1211">
        <f>SUBTOTAL(9,E9:E13)</f>
        <v>22</v>
      </c>
      <c r="F14" s="1212">
        <f>SUBTOTAL(9,F9:F13)</f>
        <v>11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8</v>
      </c>
      <c r="B16" s="1258" t="str">
        <f>Datos!A16</f>
        <v xml:space="preserve">Jdos. Instrucción                               </v>
      </c>
      <c r="C16" s="230">
        <f t="shared" ref="C16:C19" si="2">IF(ISNUMBER(H16-E16+F16),H16-E16+F16," - ")</f>
        <v>2417</v>
      </c>
      <c r="D16" s="230">
        <f>IF(ISNUMBER(IF(D_I="SI",Datos!I16,Datos!I16+Datos!AC16)),IF(D_I="SI",Datos!I16,Datos!I16+Datos!AC16)," - ")</f>
        <v>2579</v>
      </c>
      <c r="E16" s="231">
        <f>IF(ISNUMBER(IF(D_I="SI",Datos!J16,Datos!J16+Datos!AD16)),IF(D_I="SI",Datos!J16,Datos!J16+Datos!AD16)," - ")</f>
        <v>5215</v>
      </c>
      <c r="F16" s="231">
        <f>IF(ISNUMBER(IF(D_I="SI",Datos!K16,Datos!K16+Datos!AE16)),IF(D_I="SI",Datos!K16,Datos!K16+Datos!AE16)," - ")</f>
        <v>4534</v>
      </c>
      <c r="G16" s="1193" t="str">
        <f>IF(Datos!E16&lt;&gt;"",Datos!E16,Datos!D16)</f>
        <v>03</v>
      </c>
      <c r="H16" s="232">
        <f>IF(ISNUMBER(IF(D_I="SI",Datos!L16,Datos!L16+Datos!AF16)),IF(D_I="SI",Datos!L16,Datos!L16+Datos!AF16)," - ")</f>
        <v>3098</v>
      </c>
      <c r="I16" s="1203" t="str">
        <f>IF(ISNUMBER(Datos!AS16/Datos!BM16),Datos!AS16/Datos!BM16," - ")</f>
        <v xml:space="preserve"> - </v>
      </c>
      <c r="J16" s="1204">
        <f>IF(ISNUMBER(Datos!BY16/Datos!CN16),Datos!BY16/Datos!CN16," - ")</f>
        <v>0</v>
      </c>
      <c r="K16" s="235">
        <f t="shared" ref="K16:K19" si="3">IF(ISNUMBER((E16-F16)/C16),(E16-F16)/C16," - ")</f>
        <v>0.28175424079437317</v>
      </c>
      <c r="L16" s="1205">
        <f>IF(ISNUMBER(NºAsuntos!I16/NºAsuntos!G16),(NºAsuntos!I16/NºAsuntos!G16)*11," - ")</f>
        <v>7.5161005734450814</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240</v>
      </c>
      <c r="D18" s="230">
        <f>IF(ISNUMBER(IF(D_I="SI",Datos!I18,Datos!I18+Datos!AC18)),IF(D_I="SI",Datos!I18,Datos!I18+Datos!AC18)," - ")</f>
        <v>240</v>
      </c>
      <c r="E18" s="231">
        <f>IF(ISNUMBER(IF(D_I="SI",Datos!J18,Datos!J18+Datos!AD18)),IF(D_I="SI",Datos!J18,Datos!J18+Datos!AD18)," - ")</f>
        <v>297</v>
      </c>
      <c r="F18" s="231">
        <f>IF(ISNUMBER(IF(D_I="SI",Datos!K18,Datos!K18+Datos!AE18)),IF(D_I="SI",Datos!K18,Datos!K18+Datos!AE18)," - ")</f>
        <v>261</v>
      </c>
      <c r="G18" s="1193" t="str">
        <f>IF(Datos!E18&lt;&gt;"",Datos!E18,Datos!D18)</f>
        <v>37</v>
      </c>
      <c r="H18" s="232">
        <f>IF(ISNUMBER(IF(D_I="SI",Datos!L18,Datos!L18+Datos!AF18)),IF(D_I="SI",Datos!L18,Datos!L18+Datos!AF18)," - ")</f>
        <v>276</v>
      </c>
      <c r="I18" s="1203" t="str">
        <f>IF(ISNUMBER(Datos!AS18/Datos!BM18),Datos!AS18/Datos!BM18," - ")</f>
        <v xml:space="preserve"> - </v>
      </c>
      <c r="J18" s="1204" t="str">
        <f>IF(ISNUMBER((Datos!BY18+Datos!BZ18)/Datos!CN18),(Datos!BY18+Datos!BZ18)/Datos!CN18," - ")</f>
        <v xml:space="preserve"> - </v>
      </c>
      <c r="K18" s="235">
        <f t="shared" si="3"/>
        <v>0.15</v>
      </c>
      <c r="L18" s="1205">
        <f>IF(ISNUMBER(NºAsuntos!I18/NºAsuntos!G18),(NºAsuntos!I18/NºAsuntos!G18)*11," - ")</f>
        <v>11.632183908045977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2657</v>
      </c>
      <c r="D20" s="1210">
        <f>SUBTOTAL(9,D16:D19)</f>
        <v>2819</v>
      </c>
      <c r="E20" s="1211">
        <f>SUBTOTAL(9,E16:E19)</f>
        <v>5512</v>
      </c>
      <c r="F20" s="1211">
        <f>SUBTOTAL(9,F16:F19)</f>
        <v>4795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2718</v>
      </c>
      <c r="D21" s="1232">
        <f>SUBTOTAL(9,D9:D20)</f>
        <v>2880</v>
      </c>
      <c r="E21" s="1233">
        <f>SUBTOTAL(9,E9:E20)</f>
        <v>5534</v>
      </c>
      <c r="F21" s="1233">
        <f>SUBTOTAL(9,F9:F20)</f>
        <v>4806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zAHiQCHfBmPdTBBn/M9+vfYHR2QipwQFPfRC/NsnQZOizTjuHfKGDPwyUgMhIYxJLGEKPy9Sa6OH9+YoDoc/Vg==" saltValue="kQn6jyCm/gR9aShlIxexX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cu1kGvlgOvrEWIdc5RKAyyIt2k0bXRW43Q1dqz1x0ioF/y89TfMV9/qmFRnHGQzfIdZRPwKeIi97NC5n4LvYQg==" saltValue="F2WoOAbQS/6t0O3ZP0bc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11127</v>
      </c>
      <c r="J9" s="186">
        <v>4669</v>
      </c>
      <c r="K9" s="186">
        <v>3716</v>
      </c>
      <c r="L9" s="186">
        <v>12080</v>
      </c>
      <c r="M9" s="186">
        <v>1228</v>
      </c>
      <c r="N9" s="186">
        <v>1495</v>
      </c>
      <c r="O9" s="186">
        <v>1338</v>
      </c>
      <c r="P9" s="186">
        <v>766</v>
      </c>
      <c r="Q9" s="186">
        <v>882</v>
      </c>
      <c r="R9" s="186">
        <v>14020</v>
      </c>
      <c r="S9" s="186">
        <v>11549</v>
      </c>
      <c r="T9" s="186">
        <v>4309</v>
      </c>
      <c r="U9" s="186">
        <v>5054</v>
      </c>
      <c r="V9" s="186">
        <v>10804</v>
      </c>
      <c r="W9" s="186">
        <v>1519</v>
      </c>
      <c r="X9" s="193">
        <v>1903</v>
      </c>
      <c r="Y9" s="196">
        <v>429</v>
      </c>
      <c r="Z9" s="186">
        <v>219</v>
      </c>
      <c r="AA9" s="186">
        <v>159</v>
      </c>
      <c r="AB9" s="186">
        <v>489</v>
      </c>
      <c r="AC9" s="186">
        <v>0</v>
      </c>
      <c r="AD9" s="186">
        <v>0</v>
      </c>
      <c r="AE9" s="186">
        <v>0</v>
      </c>
      <c r="AF9" s="193">
        <v>0</v>
      </c>
      <c r="AG9" s="196">
        <v>424</v>
      </c>
      <c r="AH9" s="186">
        <v>288</v>
      </c>
      <c r="AI9" s="186">
        <v>341</v>
      </c>
      <c r="AJ9" s="197">
        <v>343</v>
      </c>
      <c r="AK9" s="185">
        <v>0</v>
      </c>
      <c r="AL9" s="186">
        <v>0</v>
      </c>
      <c r="AM9" s="186">
        <v>0</v>
      </c>
      <c r="AN9" s="193">
        <v>0</v>
      </c>
      <c r="AO9" s="263">
        <v>13</v>
      </c>
      <c r="AP9" s="159">
        <v>13</v>
      </c>
      <c r="AQ9" s="159">
        <v>13</v>
      </c>
      <c r="AR9" s="198">
        <v>13</v>
      </c>
      <c r="AS9" s="348" t="s">
        <v>871</v>
      </c>
      <c r="AT9" s="200"/>
      <c r="AU9" s="199"/>
      <c r="AV9" s="200"/>
      <c r="AW9" s="199"/>
      <c r="AX9" s="200"/>
      <c r="AY9" s="125">
        <f>IF(ISNUMBER(IF(J_V="SI",S9,S9+AG9)),IF(J_V="SI",S9,S9+AG9)," - ")</f>
        <v>11973</v>
      </c>
      <c r="AZ9" s="125">
        <f>IF(ISNUMBER(IF(J_V="SI",T9,T9+AH9)),IF(J_V="SI",T9,T9+AH9)," - ")</f>
        <v>4597</v>
      </c>
      <c r="BA9" s="126">
        <f>IF(ISNUMBER(IF(J_V="SI",U9,U9+AI9)),IF(J_V="SI",U9,U9+AI9)," - ")</f>
        <v>5395</v>
      </c>
      <c r="BB9" s="126">
        <f>IF(ISNUMBER(IF(J_V="SI",V9,V9+AJ9)),IF(J_V="SI",V9,V9+AJ9)," - ")</f>
        <v>11147</v>
      </c>
      <c r="BC9" s="127">
        <f>IF(ISNUMBER(X9),X9," - ")</f>
        <v>1903</v>
      </c>
      <c r="BD9" s="128">
        <f>IF(ISNUMBER(BA9/AZ9),BA9/AZ9," - ")</f>
        <v>1.1735914726995866</v>
      </c>
      <c r="BE9" s="129">
        <f>IF(ISNUMBER(BB9/BA9),BB9/BA9, " - ")</f>
        <v>2.0661723818350324</v>
      </c>
      <c r="BF9" s="129">
        <f>IF(ISNUMBER(BC9/BA9),BC9/BA9, " - ")</f>
        <v>0.35273401297497681</v>
      </c>
      <c r="BG9" s="201">
        <f>IF(ISNUMBER((AY9+AZ9)/BA9),(AY9+AZ9)/BA9," - ")</f>
        <v>3.0713623725671919</v>
      </c>
      <c r="BH9" s="159">
        <v>12</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61</v>
      </c>
      <c r="J10" s="186">
        <v>22</v>
      </c>
      <c r="K10" s="186">
        <v>11</v>
      </c>
      <c r="L10" s="186">
        <v>72</v>
      </c>
      <c r="M10" s="186">
        <v>2</v>
      </c>
      <c r="N10" s="186">
        <v>5</v>
      </c>
      <c r="O10" s="186">
        <v>3</v>
      </c>
      <c r="P10" s="186">
        <v>3</v>
      </c>
      <c r="Q10" s="186">
        <v>0</v>
      </c>
      <c r="R10" s="186">
        <v>100</v>
      </c>
      <c r="S10" s="186">
        <v>49</v>
      </c>
      <c r="T10" s="186">
        <v>29</v>
      </c>
      <c r="U10" s="186">
        <v>32</v>
      </c>
      <c r="V10" s="186">
        <v>46</v>
      </c>
      <c r="W10" s="186">
        <v>4</v>
      </c>
      <c r="X10" s="193">
        <v>26</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49</v>
      </c>
      <c r="AZ10" s="131">
        <f t="shared" si="0"/>
        <v>29</v>
      </c>
      <c r="BA10" s="131">
        <f t="shared" si="0"/>
        <v>32</v>
      </c>
      <c r="BB10" s="131">
        <f t="shared" si="0"/>
        <v>46</v>
      </c>
      <c r="BC10" s="127">
        <f t="shared" si="0"/>
        <v>4</v>
      </c>
      <c r="BD10" s="128">
        <f>IF(ISNUMBER(BA10/AZ10),BA10/AZ10," - ")</f>
        <v>1.103448275862069</v>
      </c>
      <c r="BE10" s="129">
        <f>IF(ISNUMBER(BB10/BA10),BB10/BA10, " - ")</f>
        <v>1.4375</v>
      </c>
      <c r="BF10" s="129">
        <f>IF(ISNUMBER(BC10/BA10),BC10/BA10, " - ")</f>
        <v>0.125</v>
      </c>
      <c r="BG10" s="201">
        <f>IF(ISNUMBER((AY10+AZ10)/BA10),(AY10+AZ10)/BA10," - ")</f>
        <v>2.4375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1172</v>
      </c>
      <c r="J11" s="188">
        <v>579</v>
      </c>
      <c r="K11" s="188">
        <v>332</v>
      </c>
      <c r="L11" s="188">
        <v>1419</v>
      </c>
      <c r="M11" s="188">
        <v>151</v>
      </c>
      <c r="N11" s="188">
        <v>556</v>
      </c>
      <c r="O11" s="186">
        <v>89</v>
      </c>
      <c r="P11" s="188">
        <v>95</v>
      </c>
      <c r="Q11" s="188">
        <v>307</v>
      </c>
      <c r="R11" s="188">
        <v>804</v>
      </c>
      <c r="S11" s="188">
        <v>1436</v>
      </c>
      <c r="T11" s="188">
        <v>561</v>
      </c>
      <c r="U11" s="188">
        <v>672</v>
      </c>
      <c r="V11" s="188">
        <v>1332</v>
      </c>
      <c r="W11" s="188">
        <v>305</v>
      </c>
      <c r="X11" s="194">
        <v>586</v>
      </c>
      <c r="Y11" s="196">
        <v>63</v>
      </c>
      <c r="Z11" s="186">
        <v>398</v>
      </c>
      <c r="AA11" s="186">
        <v>388</v>
      </c>
      <c r="AB11" s="186">
        <v>73</v>
      </c>
      <c r="AC11" s="188">
        <v>0</v>
      </c>
      <c r="AD11" s="188">
        <v>0</v>
      </c>
      <c r="AE11" s="188">
        <v>0</v>
      </c>
      <c r="AF11" s="194">
        <v>0</v>
      </c>
      <c r="AG11" s="207">
        <v>104</v>
      </c>
      <c r="AH11" s="188">
        <v>360</v>
      </c>
      <c r="AI11" s="188">
        <v>380</v>
      </c>
      <c r="AJ11" s="208">
        <v>84</v>
      </c>
      <c r="AK11" s="187">
        <v>0</v>
      </c>
      <c r="AL11" s="188">
        <v>0</v>
      </c>
      <c r="AM11" s="188">
        <v>0</v>
      </c>
      <c r="AN11" s="194">
        <v>0</v>
      </c>
      <c r="AO11" s="264">
        <v>3</v>
      </c>
      <c r="AP11" s="160">
        <v>3</v>
      </c>
      <c r="AQ11" s="160">
        <v>3</v>
      </c>
      <c r="AR11" s="159">
        <v>3</v>
      </c>
      <c r="AS11" s="350" t="s">
        <v>873</v>
      </c>
      <c r="AT11" s="208"/>
      <c r="AU11" s="207"/>
      <c r="AV11" s="208"/>
      <c r="AW11" s="207"/>
      <c r="AX11" s="208"/>
      <c r="AY11" s="128">
        <f t="shared" ref="AY11:BB12" si="1">IF(ISNUMBER(IF(J_V="SI",S11,S11+AG11)),IF(J_V="SI",S11,S11+AG11)," - ")</f>
        <v>1540</v>
      </c>
      <c r="AZ11" s="129">
        <f t="shared" si="1"/>
        <v>921</v>
      </c>
      <c r="BA11" s="129">
        <f t="shared" si="1"/>
        <v>1052</v>
      </c>
      <c r="BB11" s="129">
        <f t="shared" si="1"/>
        <v>1416</v>
      </c>
      <c r="BC11" s="127">
        <f>IF(ISNUMBER(X11),X11," - ")</f>
        <v>586</v>
      </c>
      <c r="BD11" s="128">
        <f t="shared" ref="BD11:BD13" si="2">IF(ISNUMBER(BA11/AZ11),BA11/AZ11," - ")</f>
        <v>1.1422366992399566</v>
      </c>
      <c r="BE11" s="129">
        <f t="shared" ref="BE11:BE13" si="3">IF(ISNUMBER(BB11/BA11),BB11/BA11, " - ")</f>
        <v>1.3460076045627376</v>
      </c>
      <c r="BF11" s="129">
        <f t="shared" ref="BF11:BF13" si="4">IF(ISNUMBER(BC11/BA11),BC11/BA11, " - ")</f>
        <v>0.55703422053231944</v>
      </c>
      <c r="BG11" s="201">
        <f t="shared" ref="BG11:BG13" si="5">IF(ISNUMBER((AY11+AZ11)/BA11),(AY11+AZ11)/BA11," - ")</f>
        <v>2.3393536121673004</v>
      </c>
      <c r="BH11" s="160">
        <v>3</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12360</v>
      </c>
      <c r="J14" s="189">
        <f t="shared" si="7"/>
        <v>5270</v>
      </c>
      <c r="K14" s="189">
        <f t="shared" si="7"/>
        <v>4059</v>
      </c>
      <c r="L14" s="189">
        <f t="shared" si="7"/>
        <v>13571</v>
      </c>
      <c r="M14" s="189">
        <f t="shared" si="7"/>
        <v>1381</v>
      </c>
      <c r="N14" s="189">
        <f t="shared" si="7"/>
        <v>2056</v>
      </c>
      <c r="O14" s="189">
        <f t="shared" si="7"/>
        <v>1430</v>
      </c>
      <c r="P14" s="189">
        <f t="shared" si="7"/>
        <v>864</v>
      </c>
      <c r="Q14" s="189">
        <f t="shared" si="7"/>
        <v>1189</v>
      </c>
      <c r="R14" s="189">
        <f t="shared" si="7"/>
        <v>14924</v>
      </c>
      <c r="S14" s="189">
        <f t="shared" si="7"/>
        <v>13034</v>
      </c>
      <c r="T14" s="189">
        <f t="shared" si="7"/>
        <v>4899</v>
      </c>
      <c r="U14" s="189">
        <f t="shared" si="7"/>
        <v>5758</v>
      </c>
      <c r="V14" s="189">
        <f t="shared" si="7"/>
        <v>12182</v>
      </c>
      <c r="W14" s="189">
        <f t="shared" si="7"/>
        <v>1828</v>
      </c>
      <c r="X14" s="189">
        <f t="shared" si="7"/>
        <v>2515</v>
      </c>
      <c r="Y14" s="189">
        <f t="shared" si="7"/>
        <v>492</v>
      </c>
      <c r="Z14" s="189">
        <f t="shared" si="7"/>
        <v>617</v>
      </c>
      <c r="AA14" s="189">
        <f t="shared" si="7"/>
        <v>547</v>
      </c>
      <c r="AB14" s="189">
        <f t="shared" si="7"/>
        <v>562</v>
      </c>
      <c r="AC14" s="189">
        <f t="shared" si="7"/>
        <v>0</v>
      </c>
      <c r="AD14" s="189">
        <f t="shared" si="7"/>
        <v>0</v>
      </c>
      <c r="AE14" s="189">
        <f t="shared" si="7"/>
        <v>0</v>
      </c>
      <c r="AF14" s="189">
        <f>SUBTOTAL(9,AF9:AF13)</f>
        <v>0</v>
      </c>
      <c r="AG14" s="189">
        <f t="shared" ref="AG14:AT14" si="8">SUBTOTAL(9,AG8:AG13)</f>
        <v>528</v>
      </c>
      <c r="AH14" s="189">
        <f t="shared" si="8"/>
        <v>648</v>
      </c>
      <c r="AI14" s="189">
        <f t="shared" si="8"/>
        <v>721</v>
      </c>
      <c r="AJ14" s="189">
        <f t="shared" si="8"/>
        <v>427</v>
      </c>
      <c r="AK14" s="189">
        <f t="shared" si="8"/>
        <v>0</v>
      </c>
      <c r="AL14" s="189">
        <f t="shared" si="8"/>
        <v>0</v>
      </c>
      <c r="AM14" s="189">
        <f t="shared" si="8"/>
        <v>0</v>
      </c>
      <c r="AN14" s="189">
        <f t="shared" si="8"/>
        <v>0</v>
      </c>
      <c r="AO14" s="189">
        <f t="shared" si="8"/>
        <v>17</v>
      </c>
      <c r="AP14" s="189">
        <f t="shared" si="8"/>
        <v>17</v>
      </c>
      <c r="AQ14" s="189">
        <f t="shared" si="8"/>
        <v>17</v>
      </c>
      <c r="AR14" s="189">
        <f t="shared" si="8"/>
        <v>17</v>
      </c>
      <c r="AS14" s="189">
        <f t="shared" si="8"/>
        <v>0</v>
      </c>
      <c r="AT14" s="189">
        <f t="shared" si="8"/>
        <v>0</v>
      </c>
      <c r="AU14" s="209"/>
      <c r="AV14" s="134"/>
      <c r="AW14" s="209"/>
      <c r="AX14" s="134"/>
      <c r="AY14" s="189">
        <f>SUBTOTAL(9,AY8:AY13)</f>
        <v>13562</v>
      </c>
      <c r="AZ14" s="189">
        <f>SUBTOTAL(9,AZ8:AZ13)</f>
        <v>5547</v>
      </c>
      <c r="BA14" s="189">
        <f>SUBTOTAL(9,BA8:BA13)</f>
        <v>6479</v>
      </c>
      <c r="BB14" s="189">
        <f>SUBTOTAL(9,BB8:BB13)</f>
        <v>12609</v>
      </c>
      <c r="BC14" s="189">
        <f>SUBTOTAL(9,BC8:BC13)</f>
        <v>2493</v>
      </c>
      <c r="BD14" s="210">
        <f>IF(ISNUMBER(BA14/AZ14),BA14/AZ14," - ")</f>
        <v>1.1680187488732647</v>
      </c>
      <c r="BE14" s="211">
        <f>IF(ISNUMBER(BB14/BA14),BB14/BA14, " - ")</f>
        <v>1.9461336626022534</v>
      </c>
      <c r="BF14" s="211">
        <f>IF(ISNUMBER(BC14/BA14),BC14/BA14, " - ")</f>
        <v>0.38478160209908935</v>
      </c>
      <c r="BG14" s="212">
        <f>IF(ISNUMBER((AY14+AZ14)/BA14),(AY14+AZ14)/BA14," - ")</f>
        <v>2.9493749035344963</v>
      </c>
      <c r="BH14" s="145">
        <f>SUBTOTAL(9,BH8:BH13)</f>
        <v>16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2579</v>
      </c>
      <c r="J16" s="188">
        <v>5215</v>
      </c>
      <c r="K16" s="188">
        <v>4534</v>
      </c>
      <c r="L16" s="188">
        <v>3098</v>
      </c>
      <c r="M16" s="188">
        <v>559</v>
      </c>
      <c r="N16" s="188">
        <v>2830</v>
      </c>
      <c r="O16" s="186">
        <v>61</v>
      </c>
      <c r="P16" s="188">
        <v>188</v>
      </c>
      <c r="Q16" s="188">
        <v>136</v>
      </c>
      <c r="R16" s="188">
        <v>631</v>
      </c>
      <c r="S16" s="188">
        <v>2153</v>
      </c>
      <c r="T16" s="188">
        <v>5035</v>
      </c>
      <c r="U16" s="188">
        <v>5075</v>
      </c>
      <c r="V16" s="188">
        <v>2151</v>
      </c>
      <c r="W16" s="188">
        <v>662</v>
      </c>
      <c r="X16" s="194">
        <v>3265</v>
      </c>
      <c r="Y16" s="207">
        <v>0</v>
      </c>
      <c r="Z16" s="188">
        <v>0</v>
      </c>
      <c r="AA16" s="188">
        <v>0</v>
      </c>
      <c r="AB16" s="188">
        <v>0</v>
      </c>
      <c r="AC16" s="188">
        <v>4</v>
      </c>
      <c r="AD16" s="188">
        <v>308</v>
      </c>
      <c r="AE16" s="188">
        <v>309</v>
      </c>
      <c r="AF16" s="194">
        <v>3</v>
      </c>
      <c r="AG16" s="207">
        <v>0</v>
      </c>
      <c r="AH16" s="188">
        <v>0</v>
      </c>
      <c r="AI16" s="188">
        <v>0</v>
      </c>
      <c r="AJ16" s="208">
        <v>0</v>
      </c>
      <c r="AK16" s="187">
        <v>5</v>
      </c>
      <c r="AL16" s="188">
        <v>288</v>
      </c>
      <c r="AM16" s="188">
        <v>291</v>
      </c>
      <c r="AN16" s="194">
        <v>2</v>
      </c>
      <c r="AO16" s="264">
        <v>8</v>
      </c>
      <c r="AP16" s="160">
        <v>8</v>
      </c>
      <c r="AQ16" s="160">
        <v>8</v>
      </c>
      <c r="AR16" s="160">
        <v>8</v>
      </c>
      <c r="AS16" s="350" t="s">
        <v>588</v>
      </c>
      <c r="AT16" s="208" t="s">
        <v>360</v>
      </c>
      <c r="AU16" s="207"/>
      <c r="AV16" s="208"/>
      <c r="AW16" s="207"/>
      <c r="AX16" s="208"/>
      <c r="AY16" s="130">
        <f t="shared" ref="AY16:BB17" si="10">IF(ISNUMBER(IF(D_I="SI",S16,S16+AK16)),IF(D_I="SI",S16,S16+AK16)," - ")</f>
        <v>2153</v>
      </c>
      <c r="AZ16" s="131">
        <f t="shared" si="10"/>
        <v>5035</v>
      </c>
      <c r="BA16" s="131">
        <f t="shared" si="10"/>
        <v>5075</v>
      </c>
      <c r="BB16" s="131">
        <f t="shared" si="10"/>
        <v>2151</v>
      </c>
      <c r="BC16" s="127">
        <f>IF(ISNUMBER(W16),W16," - ")</f>
        <v>662</v>
      </c>
      <c r="BD16" s="128">
        <f>IF(ISNUMBER(BA16/AZ16),BA16/AZ16," - ")</f>
        <v>1.0079443892750746</v>
      </c>
      <c r="BE16" s="129">
        <f>IF(ISNUMBER(BB16/BA16),BB16/BA16, " - ")</f>
        <v>0.42384236453201968</v>
      </c>
      <c r="BF16" s="129">
        <f>IF(ISNUMBER(BC16/BA16),BC16/BA16, " - ")</f>
        <v>0.13044334975369459</v>
      </c>
      <c r="BG16" s="201">
        <f t="shared" ref="BG16:BG19" si="11">IF(ISNUMBER((AY16+AZ16)/BA16),(AY16+AZ16)/BA16," - ")</f>
        <v>1.4163546798029556</v>
      </c>
      <c r="BH16" s="160">
        <v>8</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240</v>
      </c>
      <c r="J18" s="188">
        <v>297</v>
      </c>
      <c r="K18" s="188">
        <v>261</v>
      </c>
      <c r="L18" s="188">
        <v>276</v>
      </c>
      <c r="M18" s="188">
        <v>37</v>
      </c>
      <c r="N18" s="188">
        <v>159</v>
      </c>
      <c r="O18" s="188">
        <v>2</v>
      </c>
      <c r="P18" s="188">
        <v>8</v>
      </c>
      <c r="Q18" s="188">
        <v>2</v>
      </c>
      <c r="R18" s="188">
        <v>8</v>
      </c>
      <c r="S18" s="188">
        <v>98</v>
      </c>
      <c r="T18" s="188">
        <v>312</v>
      </c>
      <c r="U18" s="188">
        <v>267</v>
      </c>
      <c r="V18" s="188">
        <v>143</v>
      </c>
      <c r="W18" s="188">
        <v>38</v>
      </c>
      <c r="X18" s="194">
        <v>141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98</v>
      </c>
      <c r="AZ18" s="131">
        <f t="shared" si="15"/>
        <v>312</v>
      </c>
      <c r="BA18" s="131">
        <f t="shared" si="15"/>
        <v>267</v>
      </c>
      <c r="BB18" s="131">
        <f t="shared" si="15"/>
        <v>143</v>
      </c>
      <c r="BC18" s="127">
        <f>IF(ISNUMBER(W18),W18," - ")</f>
        <v>38</v>
      </c>
      <c r="BD18" s="128">
        <f>IF(ISNUMBER(BA18/AZ18),BA18/AZ18," - ")</f>
        <v>0.85576923076923073</v>
      </c>
      <c r="BE18" s="129">
        <f>IF(ISNUMBER(BB18/BA18),BB18/BA18, " - ")</f>
        <v>0.53558052434456926</v>
      </c>
      <c r="BF18" s="129">
        <f>IF(ISNUMBER(BC18/BA18),BC18/BA18, " - ")</f>
        <v>0.14232209737827714</v>
      </c>
      <c r="BG18" s="201">
        <f>IF(ISNUMBER((AY18+AZ18)/BA18),(AY18+AZ18)/BA18," - ")</f>
        <v>1.5355805243445693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2819</v>
      </c>
      <c r="J20" s="189">
        <f t="shared" si="16"/>
        <v>5512</v>
      </c>
      <c r="K20" s="189">
        <f t="shared" si="16"/>
        <v>4795</v>
      </c>
      <c r="L20" s="189">
        <f t="shared" si="16"/>
        <v>3374</v>
      </c>
      <c r="M20" s="189">
        <f t="shared" si="16"/>
        <v>596</v>
      </c>
      <c r="N20" s="189">
        <f t="shared" si="16"/>
        <v>2989</v>
      </c>
      <c r="O20" s="189">
        <f t="shared" si="16"/>
        <v>63</v>
      </c>
      <c r="P20" s="189">
        <f t="shared" si="16"/>
        <v>196</v>
      </c>
      <c r="Q20" s="189">
        <f t="shared" si="16"/>
        <v>138</v>
      </c>
      <c r="R20" s="189">
        <f t="shared" si="16"/>
        <v>639</v>
      </c>
      <c r="S20" s="189">
        <f t="shared" si="16"/>
        <v>2251</v>
      </c>
      <c r="T20" s="189">
        <f t="shared" si="16"/>
        <v>5347</v>
      </c>
      <c r="U20" s="189">
        <f t="shared" si="16"/>
        <v>5342</v>
      </c>
      <c r="V20" s="189">
        <f t="shared" si="16"/>
        <v>2294</v>
      </c>
      <c r="W20" s="189">
        <f t="shared" si="16"/>
        <v>700</v>
      </c>
      <c r="X20" s="189">
        <f t="shared" si="16"/>
        <v>3406</v>
      </c>
      <c r="Y20" s="189">
        <f t="shared" si="16"/>
        <v>0</v>
      </c>
      <c r="Z20" s="189">
        <f t="shared" si="16"/>
        <v>0</v>
      </c>
      <c r="AA20" s="189">
        <f t="shared" si="16"/>
        <v>0</v>
      </c>
      <c r="AB20" s="189">
        <f t="shared" si="16"/>
        <v>0</v>
      </c>
      <c r="AC20" s="189">
        <f t="shared" si="16"/>
        <v>4</v>
      </c>
      <c r="AD20" s="189">
        <f t="shared" si="16"/>
        <v>308</v>
      </c>
      <c r="AE20" s="189">
        <f t="shared" si="16"/>
        <v>309</v>
      </c>
      <c r="AF20" s="189">
        <f t="shared" si="16"/>
        <v>3</v>
      </c>
      <c r="AG20" s="189">
        <f t="shared" si="16"/>
        <v>0</v>
      </c>
      <c r="AH20" s="189">
        <f t="shared" si="16"/>
        <v>0</v>
      </c>
      <c r="AI20" s="189">
        <f t="shared" si="16"/>
        <v>0</v>
      </c>
      <c r="AJ20" s="189">
        <f t="shared" si="16"/>
        <v>0</v>
      </c>
      <c r="AK20" s="189">
        <f t="shared" si="16"/>
        <v>5</v>
      </c>
      <c r="AL20" s="189">
        <f t="shared" si="16"/>
        <v>288</v>
      </c>
      <c r="AM20" s="189">
        <f t="shared" si="16"/>
        <v>291</v>
      </c>
      <c r="AN20" s="189">
        <f t="shared" si="16"/>
        <v>2</v>
      </c>
      <c r="AO20" s="189">
        <f t="shared" si="16"/>
        <v>9</v>
      </c>
      <c r="AP20" s="189">
        <f t="shared" si="16"/>
        <v>9</v>
      </c>
      <c r="AQ20" s="189">
        <f t="shared" si="16"/>
        <v>9</v>
      </c>
      <c r="AR20" s="189">
        <f t="shared" si="16"/>
        <v>9</v>
      </c>
      <c r="AS20" s="189">
        <f t="shared" si="16"/>
        <v>0</v>
      </c>
      <c r="AT20" s="189">
        <f t="shared" si="16"/>
        <v>0</v>
      </c>
      <c r="AU20" s="209"/>
      <c r="AV20" s="134"/>
      <c r="AW20" s="209"/>
      <c r="AX20" s="134"/>
      <c r="AY20" s="189">
        <f>SUBTOTAL(9,AY15:AY19)</f>
        <v>2251</v>
      </c>
      <c r="AZ20" s="189">
        <f>SUBTOTAL(9,AZ15:AZ19)</f>
        <v>5347</v>
      </c>
      <c r="BA20" s="189">
        <f>SUBTOTAL(9,BA15:BA19)</f>
        <v>5342</v>
      </c>
      <c r="BB20" s="189">
        <f>SUBTOTAL(9,BB15:BB19)</f>
        <v>2294</v>
      </c>
      <c r="BC20" s="189">
        <f>SUBTOTAL(9,BC15:BC19)</f>
        <v>700</v>
      </c>
      <c r="BD20" s="210">
        <f>IF(ISNUMBER(BA20/AZ20),BA20/AZ20," - ")</f>
        <v>0.9990648962034786</v>
      </c>
      <c r="BE20" s="211">
        <f>IF(ISNUMBER(BB20/BA20),BB20/BA20, " - ")</f>
        <v>0.42942718083114939</v>
      </c>
      <c r="BF20" s="211">
        <f>IF(ISNUMBER(BC20/BA20),BC20/BA20, " - ")</f>
        <v>0.13103706476974916</v>
      </c>
      <c r="BG20" s="212">
        <f>IF(ISNUMBER((AY20+AZ20)/BA20),(AY20+AZ20)/BA20," - ")</f>
        <v>1.4223137401722201</v>
      </c>
      <c r="BH20" s="189">
        <f>SUBTOTAL(9,BH15:BH19)</f>
        <v>9</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15179</v>
      </c>
      <c r="J21" s="136">
        <f t="shared" si="19"/>
        <v>10782</v>
      </c>
      <c r="K21" s="136">
        <f t="shared" si="19"/>
        <v>8854</v>
      </c>
      <c r="L21" s="136">
        <f t="shared" si="19"/>
        <v>16945</v>
      </c>
      <c r="M21" s="136">
        <f t="shared" si="19"/>
        <v>1977</v>
      </c>
      <c r="N21" s="136">
        <f t="shared" si="19"/>
        <v>5045</v>
      </c>
      <c r="O21" s="136">
        <f t="shared" si="19"/>
        <v>1493</v>
      </c>
      <c r="P21" s="136">
        <f t="shared" si="19"/>
        <v>1060</v>
      </c>
      <c r="Q21" s="136">
        <f t="shared" si="19"/>
        <v>1327</v>
      </c>
      <c r="R21" s="136">
        <f t="shared" si="19"/>
        <v>15563</v>
      </c>
      <c r="S21" s="136">
        <f t="shared" si="19"/>
        <v>15285</v>
      </c>
      <c r="T21" s="136">
        <f t="shared" si="19"/>
        <v>10246</v>
      </c>
      <c r="U21" s="136">
        <f t="shared" si="19"/>
        <v>11100</v>
      </c>
      <c r="V21" s="136">
        <f t="shared" si="19"/>
        <v>14476</v>
      </c>
      <c r="W21" s="136">
        <f t="shared" si="19"/>
        <v>2528</v>
      </c>
      <c r="X21" s="136">
        <f t="shared" si="19"/>
        <v>5921</v>
      </c>
      <c r="Y21" s="136">
        <f t="shared" si="19"/>
        <v>492</v>
      </c>
      <c r="Z21" s="136">
        <f t="shared" si="19"/>
        <v>617</v>
      </c>
      <c r="AA21" s="136">
        <f t="shared" si="19"/>
        <v>547</v>
      </c>
      <c r="AB21" s="136">
        <f t="shared" si="19"/>
        <v>562</v>
      </c>
      <c r="AC21" s="136">
        <f t="shared" si="19"/>
        <v>4</v>
      </c>
      <c r="AD21" s="136">
        <f t="shared" si="19"/>
        <v>308</v>
      </c>
      <c r="AE21" s="136">
        <f t="shared" si="19"/>
        <v>309</v>
      </c>
      <c r="AF21" s="136">
        <f t="shared" si="19"/>
        <v>3</v>
      </c>
      <c r="AG21" s="136">
        <f t="shared" si="19"/>
        <v>528</v>
      </c>
      <c r="AH21" s="136">
        <f t="shared" si="19"/>
        <v>648</v>
      </c>
      <c r="AI21" s="136">
        <f t="shared" si="19"/>
        <v>721</v>
      </c>
      <c r="AJ21" s="136">
        <f t="shared" si="19"/>
        <v>427</v>
      </c>
      <c r="AK21" s="136">
        <f t="shared" si="19"/>
        <v>5</v>
      </c>
      <c r="AL21" s="136">
        <f t="shared" si="19"/>
        <v>288</v>
      </c>
      <c r="AM21" s="136">
        <f t="shared" si="19"/>
        <v>291</v>
      </c>
      <c r="AN21" s="215">
        <f t="shared" si="19"/>
        <v>2</v>
      </c>
      <c r="AO21" s="216">
        <v>25</v>
      </c>
      <c r="AP21" s="216">
        <v>25</v>
      </c>
      <c r="AQ21" s="216">
        <v>25</v>
      </c>
      <c r="AR21" s="216">
        <v>25</v>
      </c>
      <c r="AS21" s="158">
        <f t="shared" si="19"/>
        <v>0</v>
      </c>
      <c r="AT21" s="158">
        <f t="shared" si="19"/>
        <v>0</v>
      </c>
      <c r="AU21" s="216"/>
      <c r="AV21" s="217"/>
      <c r="AW21" s="216"/>
      <c r="AX21" s="217"/>
      <c r="AY21" s="135">
        <f>SUBTOTAL(9,AY9:AY20)</f>
        <v>15813</v>
      </c>
      <c r="AZ21" s="136">
        <f>SUBTOTAL(9,AZ9:AZ20)</f>
        <v>10894</v>
      </c>
      <c r="BA21" s="136">
        <f>SUBTOTAL(9,BA9:BA20)</f>
        <v>11821</v>
      </c>
      <c r="BB21" s="136">
        <f>SUBTOTAL(9,BB9:BB20)</f>
        <v>14903</v>
      </c>
      <c r="BC21" s="137">
        <f>SUBTOTAL(9,BC9:BC20)</f>
        <v>3193</v>
      </c>
      <c r="BD21" s="218">
        <f>IF(ISNUMBER(BA21/AZ21),BA21/AZ21," - ")</f>
        <v>1.0850927115843583</v>
      </c>
      <c r="BE21" s="215">
        <f>IF(ISNUMBER(BB21/BA21),BB21/BA21, " - ")</f>
        <v>1.2607224431097199</v>
      </c>
      <c r="BF21" s="215">
        <f>IF(ISNUMBER(BC21/BA21),BC21/BA21, " - ")</f>
        <v>0.27011251163184163</v>
      </c>
      <c r="BG21" s="137">
        <f>IF(ISNUMBER((AY21+AZ21)/BA21),(AY21+AZ21)/BA21," - ")</f>
        <v>2.2592843245072327</v>
      </c>
      <c r="BH21" s="216">
        <f>SUBTOTAL(9,BH9:BH20)</f>
        <v>25</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3qKWbouFQq+VB5kqHpFqAHFTnYmLc06wtuYXSWt5mzet4oLWCSYWHg/1W0WuxeWdYzSeg/4yeyr5WXzDndZcA==" saltValue="1ccdzXRrqml7xTW2KufY4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4YJWbbdt9dvdSD0O7Hm/FqxRylbqeydH5z+YiXbTVvvQ58UGixykuOs944mxDtP2qgedK20byOnmNADiBWasg==" saltValue="erdJwDOnEe+V2RtSGyor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PONTEVEDRA  Resumenes por Partidos Judiciales  VIGO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13</v>
      </c>
      <c r="B9" s="653" t="s">
        <v>273</v>
      </c>
      <c r="C9" s="671" t="str">
        <f>Datos!A9</f>
        <v xml:space="preserve">Jdos. 1ª Instancia   </v>
      </c>
      <c r="D9" s="544"/>
      <c r="E9" s="670">
        <f>IF(ISNUMBER(Datos!AQ9),Datos!AQ9," - ")</f>
        <v>13</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219</v>
      </c>
      <c r="O9" s="504"/>
      <c r="P9" s="504"/>
      <c r="Q9" s="502">
        <f>IF(ISNUMBER(Datos!P9),Datos!P9,0)</f>
        <v>766</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882</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489</v>
      </c>
      <c r="AI9" s="504" t="str">
        <f>IF(ISNUMBER(Datos!CD9),Datos!CD9,"-")</f>
        <v>-</v>
      </c>
      <c r="AJ9" s="504" t="str">
        <f>IF(ISNUMBER(Datos!EN9),Datos!EN9," - ")</f>
        <v xml:space="preserve"> - </v>
      </c>
      <c r="AK9" s="504"/>
      <c r="AL9" s="505"/>
      <c r="AM9" s="672">
        <f>IF(ISNUMBER(Datos!R9),Datos!R9," - ")</f>
        <v>14020</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1228</v>
      </c>
      <c r="BD9" s="620">
        <f>IF(ISNUMBER(Datos!N9),Datos!N9," - ")</f>
        <v>1495</v>
      </c>
      <c r="BE9" s="620" t="str">
        <f>IF(ISNUMBER(Datos!BW9),Datos!BW9," - ")</f>
        <v xml:space="preserve"> - </v>
      </c>
      <c r="BF9" s="668" t="str">
        <f>IF(ISNUMBER(Datos!BX9),Datos!BX9," - ")</f>
        <v xml:space="preserve"> - </v>
      </c>
      <c r="BG9" s="669">
        <f>IF(ISNUMBER(IF(J_V="SI",Datos!K9/Datos!J9,(Datos!K9+Datos!AA9)/(Datos!J9+Datos!Z9))),IF(J_V="SI",Datos!K9/Datos!J9,(Datos!K9+Datos!AA9)/(Datos!J9+Datos!Z9))," - ")</f>
        <v>0.79275777414075288</v>
      </c>
      <c r="BH9" s="670">
        <f>IF(ISNUMBER(((IF(J_V="SI",Datos!L9/Datos!K9,(Datos!L9+Datos!AB9)/(Datos!K9+Datos!AA9)))*11)/factor_trimestre),((IF(J_V="SI",Datos!L9/Datos!K9,(Datos!L9+Datos!AB9)/(Datos!K9+Datos!AA9)))*11)/factor_trimestre," - ")</f>
        <v>9.7308387096774194</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-8.2059988681380865E-3</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61</v>
      </c>
      <c r="G10" s="498">
        <f>IF(ISNUMBER(Datos!I10),Datos!I10," - ")</f>
        <v>61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11</v>
      </c>
      <c r="AC10" s="502">
        <f>IF(ISNUMBER(Datos!Q10),Datos!Q10," - ")</f>
        <v>0</v>
      </c>
      <c r="AD10" s="504"/>
      <c r="AE10" s="517"/>
      <c r="AF10" s="506">
        <f>IF(ISNUMBER(Datos!L10),Datos!L10,"-")</f>
        <v>72</v>
      </c>
      <c r="AG10" s="504"/>
      <c r="AH10" s="504"/>
      <c r="AI10" s="504"/>
      <c r="AJ10" s="504"/>
      <c r="AK10" s="504"/>
      <c r="AL10" s="505"/>
      <c r="AM10" s="672">
        <f>IF(ISNUMBER(Datos!R10),Datos!R10," - ")</f>
        <v>100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5</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19.636363636363637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3.0927835051546393E-2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3</v>
      </c>
      <c r="B11" s="654" t="s">
        <v>273</v>
      </c>
      <c r="C11" s="655" t="str">
        <f>Datos!A11</f>
        <v xml:space="preserve">Jdos. Familia                                   </v>
      </c>
      <c r="D11" s="549"/>
      <c r="E11" s="670">
        <f>IF(ISNUMBER(Datos!AQ11),Datos!AQ11," - ")</f>
        <v>3</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398</v>
      </c>
      <c r="O11" s="504"/>
      <c r="P11" s="504"/>
      <c r="Q11" s="502">
        <f>IF(ISNUMBER(Datos!P11),Datos!P11,0)</f>
        <v>95</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307</v>
      </c>
      <c r="AD11" s="504"/>
      <c r="AE11" s="517"/>
      <c r="AF11" s="506" t="str">
        <f>IF(ISNUMBER(IF(J_V="SI",Datos!L11,Datos!L11+Datos!AB11)-IF(Monitorios="SI",Datos!CD11,0)),
                          IF(J_V="SI",Datos!L11,Datos!L11+Datos!AB11)-IF(Monitorios="SI",Datos!CD11,0),
                          " - ")</f>
        <v xml:space="preserve"> - </v>
      </c>
      <c r="AG11" s="504"/>
      <c r="AH11" s="504">
        <f>IF(ISNUMBER(Datos!AB11),Datos!AB11,"-")</f>
        <v>73</v>
      </c>
      <c r="AI11" s="504"/>
      <c r="AJ11" s="504"/>
      <c r="AK11" s="504"/>
      <c r="AL11" s="505"/>
      <c r="AM11" s="672">
        <f>IF(ISNUMBER(Datos!R11),Datos!R11," - ")</f>
        <v>804</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151</v>
      </c>
      <c r="BD11" s="620">
        <f>IF(ISNUMBER(Datos!N11),Datos!N11," - ")</f>
        <v>556</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0.73694984646878203</v>
      </c>
      <c r="BH11" s="670">
        <f>IF(ISNUMBER(((IF(J_V="SI",Datos!L11/Datos!K11,(Datos!L11+Datos!AB11)/(Datos!K11+Datos!AA11)))*11)/factor_trimestre),((IF(J_V="SI",Datos!L11/Datos!K11,(Datos!L11+Datos!AB11)/(Datos!K11+Datos!AA11)))*11)/factor_trimestre," - ")</f>
        <v>6.2166666666666677</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-0.20866141732283464</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17</v>
      </c>
      <c r="F14" s="1045">
        <f t="shared" si="1"/>
        <v>61</v>
      </c>
      <c r="G14" s="1045">
        <f t="shared" si="1"/>
        <v>61</v>
      </c>
      <c r="H14" s="1046">
        <f t="shared" si="1"/>
        <v>0</v>
      </c>
      <c r="I14" s="1045">
        <f t="shared" si="1"/>
        <v>0</v>
      </c>
      <c r="J14" s="1014">
        <f t="shared" si="1"/>
        <v>0</v>
      </c>
      <c r="K14" s="1014">
        <f t="shared" si="1"/>
        <v>0</v>
      </c>
      <c r="L14" s="1046">
        <f t="shared" si="1"/>
        <v>0</v>
      </c>
      <c r="M14" s="1046">
        <f t="shared" si="1"/>
        <v>0</v>
      </c>
      <c r="N14" s="1046">
        <f t="shared" si="1"/>
        <v>617</v>
      </c>
      <c r="O14" s="1047">
        <f t="shared" si="1"/>
        <v>0</v>
      </c>
      <c r="P14" s="1047">
        <f t="shared" si="1"/>
        <v>0</v>
      </c>
      <c r="Q14" s="1046">
        <f t="shared" si="1"/>
        <v>864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11</v>
      </c>
      <c r="AC14" s="1046">
        <f t="shared" si="2"/>
        <v>1189</v>
      </c>
      <c r="AD14" s="1046">
        <f t="shared" si="2"/>
        <v>0</v>
      </c>
      <c r="AE14" s="1046">
        <f t="shared" si="2"/>
        <v>0</v>
      </c>
      <c r="AF14" s="1046">
        <f t="shared" si="2"/>
        <v>72</v>
      </c>
      <c r="AG14" s="1046">
        <f t="shared" si="2"/>
        <v>0</v>
      </c>
      <c r="AH14" s="1046">
        <f t="shared" si="2"/>
        <v>562</v>
      </c>
      <c r="AI14" s="1046">
        <f t="shared" si="2"/>
        <v>0</v>
      </c>
      <c r="AJ14" s="1046">
        <f t="shared" si="2"/>
        <v>0</v>
      </c>
      <c r="AK14" s="1046">
        <f t="shared" si="2"/>
        <v>0</v>
      </c>
      <c r="AL14" s="1046">
        <f t="shared" si="2"/>
        <v>0</v>
      </c>
      <c r="AM14" s="1046">
        <f t="shared" si="2"/>
        <v>14924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1381</v>
      </c>
      <c r="BD14" s="1046">
        <f t="shared" si="2"/>
        <v>2056</v>
      </c>
      <c r="BE14" s="1046">
        <f t="shared" si="2"/>
        <v>0</v>
      </c>
      <c r="BF14" s="1046">
        <f t="shared" si="2"/>
        <v>0</v>
      </c>
      <c r="BG14" s="1046">
        <f>IF(ISNUMBER(Datos!K14/Datos!J14),Datos!K14/Datos!J14," - ")</f>
        <v>0.77020872865275147</v>
      </c>
      <c r="BH14" s="1050">
        <f>IF(ISNUMBER(((Datos!L14/Datos!K14)*11)/factor_trimestre),((Datos!L14/Datos!K14)*11)/factor_trimestre," - ")</f>
        <v>10.030303030303031</v>
      </c>
      <c r="BI14" s="1046">
        <f>IF(ISNUMBER('Resol  Asuntos'!D14/NºAsuntos!G14),'Resol  Asuntos'!D14/NºAsuntos!G14," - ")</f>
        <v>0.29982631350412503</v>
      </c>
      <c r="BJ14" s="1046" t="str">
        <f>IF(ISNUMBER(Datos!CI14/Datos!CJ14),Datos!CI14/Datos!CJ14," - ")</f>
        <v xml:space="preserve"> - </v>
      </c>
      <c r="BK14" s="1046">
        <f>SUBTOTAL(9,BK8:BK13)</f>
        <v>0</v>
      </c>
      <c r="BL14" s="1046">
        <f>IF(ISNUMBER((I14-AB14+L14)/(F14)),(I14-AB14+L14)/(F14)," - ")</f>
        <v>-0.18032786885245902</v>
      </c>
      <c r="BM14" s="1051">
        <f>SUBTOTAL(9,BM9:BM13)</f>
        <v>-0.18593958113942632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8</v>
      </c>
      <c r="B16" s="647" t="s">
        <v>437</v>
      </c>
      <c r="C16" s="657" t="str">
        <f>Datos!A16</f>
        <v xml:space="preserve">Jdos. Instrucción                               </v>
      </c>
      <c r="D16" s="658"/>
      <c r="E16" s="1334">
        <f>IF(ISNUMBER(Datos!AQ16),Datos!AQ16," - ")</f>
        <v>8</v>
      </c>
      <c r="F16" s="648">
        <f>IF(ISNUMBER(AF16+AB16-Datos!J16-L16),AF16+AB16-Datos!J16-L16," - ")</f>
        <v>2417</v>
      </c>
      <c r="G16" s="651">
        <f>IF(ISNUMBER(IF(D_I="SI",Datos!I16,Datos!I16+Datos!AC16)),IF(D_I="SI",Datos!I16,Datos!I16+Datos!AC16)," - ")</f>
        <v>2579</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188</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4534</v>
      </c>
      <c r="AC16" s="231">
        <f>IF(ISNUMBER(Datos!Q16),Datos!Q16," - ")</f>
        <v>136</v>
      </c>
      <c r="AD16" s="344"/>
      <c r="AE16" s="516"/>
      <c r="AF16" s="649">
        <f>IF(ISNUMBER(IF(D_I="SI",Datos!L16,Datos!L16+Datos!AF16)),IF(D_I="SI",Datos!L16,Datos!L16+Datos!AF16)," - ")</f>
        <v>3098</v>
      </c>
      <c r="AG16" s="344"/>
      <c r="AH16" s="344"/>
      <c r="AI16" s="344"/>
      <c r="AJ16" s="504"/>
      <c r="AK16" s="344"/>
      <c r="AL16" s="500"/>
      <c r="AM16" s="345">
        <f>IF(ISNUMBER(Datos!R16),Datos!R16," - ")</f>
        <v>631</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559</v>
      </c>
      <c r="BD16" s="234">
        <f>IF(ISNUMBER(Datos!N16),Datos!N16," - ")</f>
        <v>2830</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0.86941514860977953</v>
      </c>
      <c r="BH16" s="670">
        <f>IF(ISNUMBER(((IF(D_I="SI",Datos!L16/Datos!K16,(Datos!L16+Datos!AF16)/(Datos!K16+Datos!AE16)))*11)/factor_trimestre),((IF(D_I="SI",Datos!L16/Datos!K16,(Datos!L16+Datos!AF16)/(Datos!K16+Datos!AE16)))*11)/factor_trimestre," - ")</f>
        <v>2.0498456109395677</v>
      </c>
      <c r="BI16" s="248">
        <f>IF(ISNUMBER('Resol  Asuntos'!D16/NºAsuntos!G16),'Resol  Asuntos'!D16/NºAsuntos!G16," - ")</f>
        <v>0.12329069254521394</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240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8</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261</v>
      </c>
      <c r="AC18" s="502">
        <f>IF(ISNUMBER(Datos!Q18),Datos!Q18," - ")</f>
        <v>2</v>
      </c>
      <c r="AD18" s="504"/>
      <c r="AE18" s="516"/>
      <c r="AF18" s="506">
        <f>IF(ISNUMBER(Datos!L18),Datos!L18,"-")</f>
        <v>276</v>
      </c>
      <c r="AG18" s="504"/>
      <c r="AH18" s="504"/>
      <c r="AI18" s="504"/>
      <c r="AJ18" s="504"/>
      <c r="AK18" s="504"/>
      <c r="AL18" s="505"/>
      <c r="AM18" s="672">
        <f>IF(ISNUMBER(Datos!R18),Datos!R18," - ")</f>
        <v>8</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37</v>
      </c>
      <c r="BD18" s="620">
        <f>IF(ISNUMBER(Datos!N18),Datos!N18," - ")</f>
        <v>159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0.87878787878787878</v>
      </c>
      <c r="BH18" s="670">
        <f>IF(ISNUMBER(((IF(D_I="SI",Datos!L18/Datos!K18,(Datos!L18+Datos!AF18)/(Datos!K18+Datos!AE18)))*11)/factor_trimestre),((IF(D_I="SI",Datos!L18/Datos!K18,(Datos!L18+Datos!AF18)/(Datos!K18+Datos!AE18)))*11)/factor_trimestre," - ")</f>
        <v>3.1724137931034484</v>
      </c>
      <c r="BI18" s="669">
        <f>IF(ISNUMBER('Resol  Asuntos'!D18/NºAsuntos!G18),'Resol  Asuntos'!D18/NºAsuntos!G18," - ")</f>
        <v>0.1417624521072797</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9</v>
      </c>
      <c r="F20" s="1045">
        <f>SUBTOTAL(9,F16:F19)</f>
        <v>2417</v>
      </c>
      <c r="G20" s="1045">
        <f>SUBTOTAL(9,G16:G19)</f>
        <v>2819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196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4795</v>
      </c>
      <c r="AC20" s="1046">
        <f t="shared" si="5"/>
        <v>138</v>
      </c>
      <c r="AD20" s="1046">
        <f t="shared" si="5"/>
        <v>0</v>
      </c>
      <c r="AE20" s="1046">
        <f t="shared" si="5"/>
        <v>0</v>
      </c>
      <c r="AF20" s="1046">
        <f t="shared" si="5"/>
        <v>3374</v>
      </c>
      <c r="AG20" s="1046">
        <f t="shared" si="5"/>
        <v>0</v>
      </c>
      <c r="AH20" s="1046">
        <f t="shared" si="5"/>
        <v>0</v>
      </c>
      <c r="AI20" s="1046">
        <f t="shared" si="5"/>
        <v>0</v>
      </c>
      <c r="AJ20" s="1046">
        <f t="shared" si="5"/>
        <v>0</v>
      </c>
      <c r="AK20" s="1046">
        <f t="shared" si="5"/>
        <v>0</v>
      </c>
      <c r="AL20" s="1046">
        <f t="shared" si="5"/>
        <v>0</v>
      </c>
      <c r="AM20" s="1046">
        <f t="shared" si="5"/>
        <v>639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596</v>
      </c>
      <c r="BD20" s="1046">
        <f t="shared" si="5"/>
        <v>2989</v>
      </c>
      <c r="BE20" s="1046">
        <f t="shared" si="5"/>
        <v>0</v>
      </c>
      <c r="BF20" s="1046">
        <f t="shared" si="5"/>
        <v>0</v>
      </c>
      <c r="BG20" s="1046">
        <f>IF(ISNUMBER(Datos!K20/Datos!J20),Datos!K20/Datos!J20," - ")</f>
        <v>0.86992017416545719</v>
      </c>
      <c r="BH20" s="1050">
        <f>IF(ISNUMBER(((Datos!L20/Datos!K20)*11)/factor_trimestre),((Datos!L20/Datos!K20)*11)/factor_trimestre," - ")</f>
        <v>2.1109489051094892</v>
      </c>
      <c r="BI20" s="1046">
        <f>SUBTOTAL(9,BI16:BI19)</f>
        <v>0.26505314465249363</v>
      </c>
      <c r="BJ20" s="1046">
        <f>SUBTOTAL(9,BJ16:BJ19)</f>
        <v>0</v>
      </c>
      <c r="BK20" s="1046">
        <f>SUBTOTAL(9,BK16:BK19)</f>
        <v>0</v>
      </c>
      <c r="BL20" s="1046">
        <f>IF(ISNUMBER((I20-AB20+L20)/(F20)),(I20-AB20+L20)/(F20)," - ")</f>
        <v>-1.983864294580058</v>
      </c>
      <c r="BM20" s="1052">
        <f>IF(ISNUMBER((Datos!P20-Datos!Q20)/(Datos!R20-Datos!P20+Datos!Q20)),(Datos!P20-Datos!Q20)/(Datos!R20-Datos!P20+Datos!Q20)," - ")</f>
        <v>9.9827882960413075E-2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26</v>
      </c>
      <c r="F21" s="967">
        <f t="shared" si="7"/>
        <v>2478</v>
      </c>
      <c r="G21" s="967">
        <f t="shared" si="7"/>
        <v>2880</v>
      </c>
      <c r="H21" s="969">
        <f t="shared" si="7"/>
        <v>0</v>
      </c>
      <c r="I21" s="967">
        <f t="shared" si="7"/>
        <v>0</v>
      </c>
      <c r="J21" s="969">
        <f t="shared" si="7"/>
        <v>0</v>
      </c>
      <c r="K21" s="969">
        <f t="shared" si="7"/>
        <v>0</v>
      </c>
      <c r="L21" s="1028">
        <f t="shared" si="7"/>
        <v>0</v>
      </c>
      <c r="M21" s="1028">
        <f t="shared" si="7"/>
        <v>0</v>
      </c>
      <c r="N21" s="1028">
        <f t="shared" si="7"/>
        <v>617</v>
      </c>
      <c r="O21" s="1028">
        <f t="shared" si="7"/>
        <v>0</v>
      </c>
      <c r="P21" s="1028">
        <f t="shared" si="7"/>
        <v>0</v>
      </c>
      <c r="Q21" s="969">
        <f t="shared" si="7"/>
        <v>1060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4806</v>
      </c>
      <c r="AC21" s="968">
        <f t="shared" si="8"/>
        <v>1327</v>
      </c>
      <c r="AD21" s="968">
        <f t="shared" si="8"/>
        <v>0</v>
      </c>
      <c r="AE21" s="968">
        <f t="shared" si="8"/>
        <v>0</v>
      </c>
      <c r="AF21" s="975">
        <f t="shared" si="8"/>
        <v>3446</v>
      </c>
      <c r="AG21" s="975">
        <f t="shared" si="8"/>
        <v>0</v>
      </c>
      <c r="AH21" s="975">
        <f t="shared" si="8"/>
        <v>562</v>
      </c>
      <c r="AI21" s="975">
        <f t="shared" si="8"/>
        <v>0</v>
      </c>
      <c r="AJ21" s="968">
        <f t="shared" si="8"/>
        <v>0</v>
      </c>
      <c r="AK21" s="975">
        <f t="shared" si="8"/>
        <v>0</v>
      </c>
      <c r="AL21" s="975">
        <f t="shared" si="8"/>
        <v>0</v>
      </c>
      <c r="AM21" s="975">
        <f t="shared" si="8"/>
        <v>15563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1977</v>
      </c>
      <c r="BD21" s="967">
        <f t="shared" si="8"/>
        <v>5045</v>
      </c>
      <c r="BE21" s="967">
        <f t="shared" si="8"/>
        <v>0</v>
      </c>
      <c r="BF21" s="977">
        <f t="shared" si="8"/>
        <v>0</v>
      </c>
      <c r="BG21" s="1062">
        <f>IF(ISNUMBER(Datos!K21/Datos!J21),Datos!K21/Datos!J21," - ")</f>
        <v>0.82118345390465586</v>
      </c>
      <c r="BH21" s="1062">
        <f>IF(ISNUMBER(((Datos!L21/Datos!K21)*11)/factor_trimestre),((Datos!L21/Datos!K21)*11)/factor_trimestre," - ")</f>
        <v>5.7414727806641075</v>
      </c>
      <c r="BI21" s="960">
        <f>IF(ISNUMBER(Datos!J21/Datos!I21),Datos!J21/Datos!I21," - ")</f>
        <v>0.71032347321957967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-1.9394673123486683</v>
      </c>
      <c r="BM21" s="1036">
        <f>IF(ISNUMBER((Datos!P21-Datos!Q21+R21)/(Datos!R21-Datos!P21+Datos!Q21-R21)),(Datos!P21-Datos!Q21+R21)/(Datos!R21-Datos!P21+Datos!Q21-R21)," - ")</f>
        <v>-1.6866708780795957E-2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1152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6.0677987621691791</v>
      </c>
      <c r="F23" s="600">
        <f>IF(ISNUMBER(STDEV(F8:F20)),STDEV(F8:F20),"-")</f>
        <v>1360.2372342107583</v>
      </c>
      <c r="G23" s="601">
        <f>IF(ISNUMBER(STDEV(G8:G20)),STDEV(G8:G20),"-")</f>
        <v>1416.6442743328334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2506.9620659276038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558.80390972487794</v>
      </c>
      <c r="BD23" s="600"/>
      <c r="BE23" s="600">
        <f>IF(ISNUMBER(STDEV(BE8:BE20)),STDEV(BE8:BE20),"-")</f>
        <v>0</v>
      </c>
      <c r="BF23" s="605">
        <f>IF(ISNUMBER(STDEV(BF8:BF20)),STDEV(BF8:BF20),"-")</f>
        <v>0</v>
      </c>
      <c r="BG23" s="915">
        <f>IF(ISNUMBER(STDEV(BG8:BG20)),STDEV(BG8:BG20),"-")</f>
        <v>0.13297880245825264</v>
      </c>
      <c r="BH23" s="919">
        <f>IF(ISNUMBER(STDEV(BH8:BH20)),STDEV(BH8:BH20),"-")</f>
        <v>6.295008680671506</v>
      </c>
      <c r="BI23" s="254">
        <f>IF(ISNUMBER(STDEV(BI8:BI20)),STDEV(BI8:BI20),"-")</f>
        <v>8.8032464000541405E-2</v>
      </c>
      <c r="BJ23" s="235" t="str">
        <f>IF(ISNUMBER(BL23/BM23),BL23/BM23," - ")</f>
        <v xml:space="preserve"> - </v>
      </c>
      <c r="BK23" s="627"/>
      <c r="BL23" s="608">
        <f>IF(ISNUMBER(STDEV(BL8:BL20)),STDEV(BL8:BL20),"-")</f>
        <v>1.2752928367489331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K9uJebrUNvJuA9PJlAjRAg/x5v+bx3em08TM2L1o/E8uUtxR+7fErPsCEoY/KJ/phid+XKb/e0Vp1Qzuii3+Ng==" saltValue="Ug3PUyPLUiUChVQLgqw5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PONTEVEDRA  Resumenes por Partidos Judiciales  VIGO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13</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766</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882</v>
      </c>
      <c r="AA9" s="506" t="str">
        <f>IF(ISNUMBER(IF(J_V="SI",Datos!L9,Datos!L9+Datos!AB9)-IF(Monitorios="SI",Datos!CD9,0)),
                          IF(J_V="SI",Datos!L9,Datos!L9+Datos!AB9)-IF(Monitorios="SI",Datos!CD9,0),
                          " - ")</f>
        <v xml:space="preserve"> - </v>
      </c>
      <c r="AB9" s="504"/>
      <c r="AC9" s="504"/>
      <c r="AD9" s="517"/>
      <c r="AE9" s="517">
        <f>IF(ISNUMBER(Datos!R9),Datos!R9," - ")</f>
        <v>14020</v>
      </c>
      <c r="AF9" s="620" t="str">
        <f>IF(ISNUMBER(Datos!BV9),Datos!BV9," - ")</f>
        <v xml:space="preserve"> - </v>
      </c>
      <c r="AG9" s="507" t="str">
        <f>IF(ISNUMBER(Datos!DV9),Datos!DV9," - ")</f>
        <v xml:space="preserve"> - </v>
      </c>
      <c r="AH9" s="508"/>
      <c r="AI9" s="509"/>
      <c r="AJ9" s="507">
        <f>IF(ISNUMBER(Datos!M9),Datos!M9," - ")</f>
        <v>1228</v>
      </c>
      <c r="AK9" s="620">
        <f>IF(ISNUMBER(Datos!N9),Datos!N9," - ")</f>
        <v>1495</v>
      </c>
      <c r="AL9" s="620" t="str">
        <f>IF(ISNUMBER(Datos!BW9),Datos!BW9," - ")</f>
        <v xml:space="preserve"> - </v>
      </c>
      <c r="AM9" s="668" t="str">
        <f>IF(ISNUMBER(Datos!BX9),Datos!BX9," - ")</f>
        <v xml:space="preserve"> - </v>
      </c>
      <c r="AN9" s="669"/>
      <c r="AO9" s="670">
        <f>IF(ISNUMBER(((NºAsuntos!I9/NºAsuntos!G9)*11)/factor_trimestre),((NºAsuntos!I9/NºAsuntos!G9)*11)/factor_trimestre," - ")</f>
        <v>9.7308387096774194</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-8.2059988681380865E-3</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61</v>
      </c>
      <c r="G10" s="507">
        <f>IF(ISNUMBER(Datos!I10),Datos!I10," - ")</f>
        <v>61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11</v>
      </c>
      <c r="Z10" s="704">
        <f>IF(ISNUMBER(Datos!Q10),Datos!Q10," - ")</f>
        <v>0</v>
      </c>
      <c r="AA10" s="506">
        <f>IF(ISNUMBER(Datos!L10),Datos!L10,"-")</f>
        <v>72</v>
      </c>
      <c r="AB10" s="504"/>
      <c r="AC10" s="504"/>
      <c r="AD10" s="517"/>
      <c r="AE10" s="517">
        <f>IF(ISNUMBER(Datos!R10),Datos!R10," - ")</f>
        <v>100</v>
      </c>
      <c r="AF10" s="620" t="str">
        <f>IF(ISNUMBER(Datos!BV10),Datos!BV10," - ")</f>
        <v xml:space="preserve"> - </v>
      </c>
      <c r="AG10" s="507" t="str">
        <f>IF(ISNUMBER(Datos!DV10),Datos!DV10," - ")</f>
        <v xml:space="preserve"> - </v>
      </c>
      <c r="AH10" s="508"/>
      <c r="AI10" s="509"/>
      <c r="AJ10" s="507">
        <f>IF(ISNUMBER(Datos!M10),Datos!M10," - ")</f>
        <v>2</v>
      </c>
      <c r="AK10" s="620">
        <f>IF(ISNUMBER(Datos!N10),Datos!N10," - ")</f>
        <v>5</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19.636363636363637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3.0927835051546393E-2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3</v>
      </c>
      <c r="B11" s="654" t="s">
        <v>273</v>
      </c>
      <c r="C11" s="655" t="str">
        <f>Datos!A11</f>
        <v xml:space="preserve">Jdos. Familia                                   </v>
      </c>
      <c r="D11" s="549"/>
      <c r="E11" s="1337">
        <f>IF(ISNUMBER(Datos!AQ11),Datos!AQ11," - ")</f>
        <v>3</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95</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307</v>
      </c>
      <c r="AA11" s="506" t="str">
        <f>IF(ISNUMBER(IF(J_V="SI",Datos!L11,Datos!L11+Datos!AB11)-IF(Monitorios="SI",Datos!CD11,0)),
                          IF(J_V="SI",Datos!L11,Datos!L11+Datos!AB11)-IF(Monitorios="SI",Datos!CD11,0),
                          " - ")</f>
        <v xml:space="preserve"> - </v>
      </c>
      <c r="AB11" s="504"/>
      <c r="AC11" s="504"/>
      <c r="AD11" s="517"/>
      <c r="AE11" s="517">
        <f>IF(ISNUMBER(Datos!R11),Datos!R11," - ")</f>
        <v>804</v>
      </c>
      <c r="AF11" s="620" t="str">
        <f>IF(ISNUMBER(Datos!BV11),Datos!BV11," - ")</f>
        <v xml:space="preserve"> - </v>
      </c>
      <c r="AG11" s="507" t="str">
        <f>IF(ISNUMBER(Datos!DV11),Datos!DV11," - ")</f>
        <v xml:space="preserve"> - </v>
      </c>
      <c r="AH11" s="508"/>
      <c r="AI11" s="509"/>
      <c r="AJ11" s="507">
        <f>IF(ISNUMBER(Datos!M11),Datos!M11," - ")</f>
        <v>151</v>
      </c>
      <c r="AK11" s="620">
        <f>IF(ISNUMBER(Datos!N11),Datos!N11," - ")</f>
        <v>556</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6.2166666666666677</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-0.20866141732283464</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17</v>
      </c>
      <c r="F14" s="1045">
        <f>SUBTOTAL(9,F8:F13)</f>
        <v>61</v>
      </c>
      <c r="G14" s="1045">
        <f>SUBTOTAL(9,G8:G13)</f>
        <v>61</v>
      </c>
      <c r="H14" s="1055"/>
      <c r="I14" s="1045">
        <f t="shared" ref="I14:N14" si="1">SUBTOTAL(9,I8:I13)</f>
        <v>0</v>
      </c>
      <c r="J14" s="1014">
        <f t="shared" si="1"/>
        <v>0</v>
      </c>
      <c r="K14" s="1055">
        <f t="shared" si="1"/>
        <v>0</v>
      </c>
      <c r="L14" s="1055">
        <f t="shared" si="1"/>
        <v>0</v>
      </c>
      <c r="M14" s="1055">
        <f t="shared" si="1"/>
        <v>0</v>
      </c>
      <c r="N14" s="1055">
        <f t="shared" si="1"/>
        <v>864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11</v>
      </c>
      <c r="Z14" s="1054">
        <f t="shared" si="3"/>
        <v>1189</v>
      </c>
      <c r="AA14" s="1047">
        <f t="shared" si="3"/>
        <v>72</v>
      </c>
      <c r="AB14" s="1047">
        <f t="shared" si="3"/>
        <v>0</v>
      </c>
      <c r="AC14" s="1047">
        <f t="shared" si="3"/>
        <v>0</v>
      </c>
      <c r="AD14" s="1047">
        <f t="shared" si="3"/>
        <v>0</v>
      </c>
      <c r="AE14" s="1047">
        <f t="shared" si="3"/>
        <v>14924</v>
      </c>
      <c r="AF14" s="1055">
        <f t="shared" si="3"/>
        <v>0</v>
      </c>
      <c r="AG14" s="1055">
        <f t="shared" si="3"/>
        <v>0</v>
      </c>
      <c r="AH14" s="1055">
        <f t="shared" si="3"/>
        <v>0</v>
      </c>
      <c r="AI14" s="1055">
        <f t="shared" si="3"/>
        <v>0</v>
      </c>
      <c r="AJ14" s="1055">
        <f t="shared" si="3"/>
        <v>1381</v>
      </c>
      <c r="AK14" s="1055">
        <f t="shared" si="3"/>
        <v>2056</v>
      </c>
      <c r="AL14" s="1055">
        <f t="shared" si="3"/>
        <v>0</v>
      </c>
      <c r="AM14" s="1055">
        <f t="shared" si="3"/>
        <v>0</v>
      </c>
      <c r="AN14" s="1055">
        <f t="shared" si="3"/>
        <v>0</v>
      </c>
      <c r="AO14" s="1051">
        <f>IF(ISNUMBER(((NºAsuntos!I14/NºAsuntos!G14)*11)/factor_trimestre),((NºAsuntos!I14/NºAsuntos!G14)*11)/factor_trimestre," - ")</f>
        <v>9.2051671732522813</v>
      </c>
      <c r="AP14" s="1057" t="str">
        <f>IF(ISNUMBER(Datos!CI14/Datos!CJ14),Datos!CI14/Datos!CJ14," - ")</f>
        <v xml:space="preserve"> - </v>
      </c>
      <c r="AQ14" s="1075">
        <f t="shared" ref="AQ14:AV14" si="4">SUBTOTAL(9,AQ9:AQ13)</f>
        <v>0</v>
      </c>
      <c r="AR14" s="1075">
        <f t="shared" si="4"/>
        <v>-0.18593958113942632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8</v>
      </c>
      <c r="B16" s="654" t="s">
        <v>437</v>
      </c>
      <c r="C16" s="671" t="str">
        <f>Datos!A16</f>
        <v xml:space="preserve">Jdos. Instrucción                               </v>
      </c>
      <c r="D16" s="544"/>
      <c r="E16" s="1337">
        <f>IF(ISNUMBER(Datos!AQ16),Datos!AQ16," - ")</f>
        <v>8</v>
      </c>
      <c r="F16" s="498">
        <f>IF(ISNUMBER(AA16+Y16-Datos!J16-K16),AA16+Y16-Datos!J16-K16," - ")</f>
        <v>2417</v>
      </c>
      <c r="G16" s="507">
        <f>IF(ISNUMBER(IF(D_I="SI",Datos!I16,Datos!I16+Datos!AC16)),IF(D_I="SI",Datos!I16,Datos!I16+Datos!AC16)," - ")</f>
        <v>2579</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188</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4534</v>
      </c>
      <c r="Z16" s="704">
        <f>IF(ISNUMBER(Datos!Q16),Datos!Q16," - ")</f>
        <v>136</v>
      </c>
      <c r="AA16" s="506">
        <f>IF(ISNUMBER(IF(D_I="SI",Datos!L16,Datos!L16+Datos!AF16)),IF(D_I="SI",Datos!L16,Datos!L16+Datos!AF16)," - ")</f>
        <v>3098</v>
      </c>
      <c r="AB16" s="504"/>
      <c r="AC16" s="504"/>
      <c r="AD16" s="517"/>
      <c r="AE16" s="517">
        <f>IF(ISNUMBER(Datos!R16),Datos!R16," - ")</f>
        <v>631</v>
      </c>
      <c r="AF16" s="620" t="str">
        <f>IF(ISNUMBER(Datos!BV16),Datos!BV16," - ")</f>
        <v xml:space="preserve"> - </v>
      </c>
      <c r="AG16" s="507"/>
      <c r="AH16" s="508"/>
      <c r="AI16" s="509"/>
      <c r="AJ16" s="507">
        <f>IF(ISNUMBER(Datos!M16),Datos!M16," - ")</f>
        <v>559</v>
      </c>
      <c r="AK16" s="620">
        <f>IF(ISNUMBER(Datos!N16),Datos!N16," - ")</f>
        <v>2830</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2.0498456109395677</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240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8</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261</v>
      </c>
      <c r="Z18" s="704">
        <f>IF(ISNUMBER(Datos!Q18),Datos!Q18," - ")</f>
        <v>2</v>
      </c>
      <c r="AA18" s="506">
        <f>IF(ISNUMBER(Datos!L18),Datos!L18,"-")</f>
        <v>276</v>
      </c>
      <c r="AB18" s="504"/>
      <c r="AC18" s="504"/>
      <c r="AD18" s="517"/>
      <c r="AE18" s="517">
        <f>IF(ISNUMBER(Datos!R18),Datos!R18," - ")</f>
        <v>8</v>
      </c>
      <c r="AF18" s="620" t="str">
        <f>IF(ISNUMBER(Datos!BV18),Datos!BV18," - ")</f>
        <v xml:space="preserve"> - </v>
      </c>
      <c r="AG18" s="507" t="str">
        <f>IF(ISNUMBER(Datos!DV18),Datos!DV18," - ")</f>
        <v xml:space="preserve"> - </v>
      </c>
      <c r="AH18" s="508"/>
      <c r="AI18" s="509"/>
      <c r="AJ18" s="507">
        <f>IF(ISNUMBER(Datos!M18),Datos!M18," - ")</f>
        <v>37</v>
      </c>
      <c r="AK18" s="620">
        <f>IF(ISNUMBER(Datos!N18),Datos!N18," - ")</f>
        <v>159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3.1724137931034484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9</v>
      </c>
      <c r="F20" s="1045">
        <f>SUBTOTAL(9,F16:F19)</f>
        <v>2417</v>
      </c>
      <c r="G20" s="1045">
        <f>SUBTOTAL(9,G16:G19)</f>
        <v>2819</v>
      </c>
      <c r="H20" s="1079">
        <f>SUBTOTAL(9,H16:H19)</f>
        <v>0</v>
      </c>
      <c r="I20" s="1058">
        <f>SUBTOTAL(9,I16:I19)</f>
        <v>0</v>
      </c>
      <c r="J20" s="1014">
        <f>SUBTOTAL(9,J15:J19)</f>
        <v>0</v>
      </c>
      <c r="K20" s="1079">
        <f t="shared" ref="K20:S20" si="5">SUBTOTAL(9,K16:K19)</f>
        <v>0</v>
      </c>
      <c r="L20" s="1079">
        <f t="shared" si="5"/>
        <v>0</v>
      </c>
      <c r="M20" s="1079">
        <f t="shared" si="5"/>
        <v>0</v>
      </c>
      <c r="N20" s="1079">
        <f t="shared" si="5"/>
        <v>196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4795</v>
      </c>
      <c r="Z20" s="1079">
        <f t="shared" si="6"/>
        <v>138</v>
      </c>
      <c r="AA20" s="1079">
        <f t="shared" si="6"/>
        <v>3374</v>
      </c>
      <c r="AB20" s="1079">
        <f t="shared" si="6"/>
        <v>0</v>
      </c>
      <c r="AC20" s="1079">
        <f t="shared" si="6"/>
        <v>0</v>
      </c>
      <c r="AD20" s="1079">
        <f t="shared" si="6"/>
        <v>0</v>
      </c>
      <c r="AE20" s="1079">
        <f t="shared" si="6"/>
        <v>639</v>
      </c>
      <c r="AF20" s="1079">
        <f t="shared" si="6"/>
        <v>0</v>
      </c>
      <c r="AG20" s="1079">
        <f t="shared" si="6"/>
        <v>0</v>
      </c>
      <c r="AH20" s="1079">
        <f t="shared" si="6"/>
        <v>0</v>
      </c>
      <c r="AI20" s="1079">
        <f t="shared" si="6"/>
        <v>0</v>
      </c>
      <c r="AJ20" s="1079">
        <f t="shared" si="6"/>
        <v>596</v>
      </c>
      <c r="AK20" s="1079">
        <f t="shared" si="6"/>
        <v>2989</v>
      </c>
      <c r="AL20" s="1079">
        <f t="shared" si="6"/>
        <v>0</v>
      </c>
      <c r="AM20" s="1079">
        <f t="shared" si="6"/>
        <v>0</v>
      </c>
      <c r="AN20" s="1079">
        <f t="shared" si="6"/>
        <v>0</v>
      </c>
      <c r="AO20" s="1081">
        <f>IF(ISNUMBER(((NºAsuntos!I20/NºAsuntos!G20)*11)/factor_trimestre),((NºAsuntos!I20/NºAsuntos!G20)*11)/factor_trimestre," - ")</f>
        <v>2.1109489051094892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26</v>
      </c>
      <c r="F21" s="967">
        <f t="shared" si="8"/>
        <v>2478</v>
      </c>
      <c r="G21" s="967">
        <f t="shared" si="8"/>
        <v>2880</v>
      </c>
      <c r="H21" s="968">
        <f t="shared" si="8"/>
        <v>0</v>
      </c>
      <c r="I21" s="967">
        <f t="shared" si="8"/>
        <v>0</v>
      </c>
      <c r="J21" s="969">
        <f t="shared" si="8"/>
        <v>0</v>
      </c>
      <c r="K21" s="967">
        <f t="shared" si="8"/>
        <v>0</v>
      </c>
      <c r="L21" s="970">
        <f t="shared" si="8"/>
        <v>0</v>
      </c>
      <c r="M21" s="967">
        <f t="shared" si="8"/>
        <v>0</v>
      </c>
      <c r="N21" s="968">
        <f t="shared" si="8"/>
        <v>1060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4806</v>
      </c>
      <c r="Z21" s="974">
        <f t="shared" si="9"/>
        <v>1327</v>
      </c>
      <c r="AA21" s="975">
        <f t="shared" si="9"/>
        <v>3446</v>
      </c>
      <c r="AB21" s="975">
        <f t="shared" si="9"/>
        <v>0</v>
      </c>
      <c r="AC21" s="975">
        <f t="shared" si="9"/>
        <v>0</v>
      </c>
      <c r="AD21" s="976">
        <f t="shared" si="9"/>
        <v>0</v>
      </c>
      <c r="AE21" s="976">
        <f t="shared" si="9"/>
        <v>15563</v>
      </c>
      <c r="AF21" s="977">
        <f t="shared" si="9"/>
        <v>0</v>
      </c>
      <c r="AG21" s="978">
        <f t="shared" si="9"/>
        <v>0</v>
      </c>
      <c r="AH21" s="979">
        <f t="shared" si="9"/>
        <v>0</v>
      </c>
      <c r="AI21" s="977">
        <f t="shared" si="9"/>
        <v>0</v>
      </c>
      <c r="AJ21" s="967">
        <f t="shared" si="9"/>
        <v>1977</v>
      </c>
      <c r="AK21" s="967">
        <f t="shared" si="9"/>
        <v>5045</v>
      </c>
      <c r="AL21" s="967">
        <f t="shared" si="9"/>
        <v>0</v>
      </c>
      <c r="AM21" s="980">
        <f t="shared" si="9"/>
        <v>0</v>
      </c>
      <c r="AN21" s="970">
        <f>IF(ISNUMBER(Datos!K21/Datos!J21),Datos!K21/Datos!J21," - ")</f>
        <v>0.82118345390465586</v>
      </c>
      <c r="AO21" s="970">
        <f>IF(ISNUMBER(FIND("06",Criterios!A8,1)),(IF(ISNUMBER(((Datos!R21/Datos!Q21)*11)/factor_trimestre),((Datos!R21/Datos!Q21)*11)/factor_trimestre," - ")),(IF(ISNUMBER(((Datos!L21/Datos!K21)*11)/factor_trimestre),((Datos!L21/Datos!K21)*11)/factor_trimestre," - ")))</f>
        <v>5.7414727806641075</v>
      </c>
      <c r="AP21" s="981" t="str">
        <f>IF(ISNUMBER(Datos!CI21/Datos!CJ21),Datos!CI21/Datos!CJ21," - ")</f>
        <v xml:space="preserve"> - </v>
      </c>
      <c r="AQ21" s="981">
        <f>IF(OR(ISNUMBER(FIND("01",Criterios!A8,1)),ISNUMBER(FIND("02",Criterios!A8,1)),ISNUMBER(FIND("03",Criterios!A8,1)),ISNUMBER(FIND("04",Criterios!A8,1))),(J21-Y21+K21)/(F21-K21),(I21-Y21+K21)/(F21-K21))</f>
        <v>-1.9394673123486683</v>
      </c>
      <c r="AR21" s="981">
        <f>IF(ISNUMBER((Datos!P21-Datos!Q21+O21)/(Datos!R21-Datos!P21+Datos!Q21-O21)),(Datos!P21-Datos!Q21+O21)/(Datos!R21-Datos!P21+Datos!Q21-O21)," - ")</f>
        <v>-1.6866708780795957E-2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1152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1360.2372342107583</v>
      </c>
      <c r="G23" s="601">
        <f>IF(ISNUMBER(STDEV(G8:G20)),STDEV(G8:G20),"-")</f>
        <v>1416.6442743328334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558.80390972487794</v>
      </c>
      <c r="AK23" s="257"/>
      <c r="AL23" s="257">
        <f>IF(ISNUMBER(STDEV(AL8:AL20)),STDEV(AL8:AL20),"-")</f>
        <v>0</v>
      </c>
      <c r="AM23" s="259">
        <f>IF(ISNUMBER(STDEV(AM8:AM20)),STDEV(AM8:AM20),"-")</f>
        <v>0</v>
      </c>
      <c r="AN23" s="587">
        <f>IF(ISNUMBER(STDEV(AN8:AN20)),STDEV(AN8:AN20),"-")</f>
        <v>0</v>
      </c>
      <c r="AO23" s="588">
        <f>IF(ISNUMBER(STDEV(AO8:AO20)),STDEV(AO8:AO20),"-")</f>
        <v>6.2486821882539827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FJNVTaEnGmKcMI01D2MG+x9zkDVcbp3yx0+/pVX9ZNiDOK2c9Xm0HqoRMT3l6xGRghpNehv7gL9XJTPqUrgEA==" saltValue="ZeAjEOym5gOivsbMSEdO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fC0X2nU8z1bLJd1caFHdhrWAn+B8KPMbKCisP7emt6vbkles0LgoArR2VbnxOFRxMHYSDSzf1AMSmWqUA6D5hQ==" saltValue="wxI9dsldSQ5ExcMl7Xx6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LumKd1WlghrS1grMnbWnMV+BQh8EmZ9FGI6q73bwWkSWrR16xzy50I5DxwLV+DsHHO0LbQbvc99YD6fvIL29g==" saltValue="b96hEl/oFCHmW5H25Suo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PONTEVEDRA  Resumenes por Partidos Judiciales  VIGO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0.29982631350412503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0.21200921945693052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ssN4HnzmKBSIAFOnvApsBNNIPdPCwWUuS0UpWkUr3Ih+JZws86v5Cy5isEQLkxlPPf1Thb/d3kzzkSPSTuEapQ==" saltValue="ICOrmjVjaq+t24wClq3b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NI8Zav8cfgN6pcrpxNp5cKf5OVIA8Hb2fmat/Sk0NygKKZFYLIbAZuuMvZ4B4isn4wJrMJd7wRUB0OGJYpQbMA==" saltValue="WP3maU8XusArtpANngNF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PONTEVEDRA</v>
      </c>
      <c r="D3" s="400"/>
      <c r="E3" s="400"/>
      <c r="F3" s="400"/>
    </row>
    <row r="4" spans="1:14" ht="13.5" thickBot="1">
      <c r="A4" s="400"/>
      <c r="B4" s="403" t="str">
        <f>Criterios!A11 &amp;"  "&amp;Criterios!B11</f>
        <v>Resumenes por Partidos Judiciales  VIGO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13</v>
      </c>
      <c r="C9" s="415">
        <f>IF(ISNUMBER(IF(J_V="SI",Datos!I9,Datos!I9+Datos!Y9)),IF(J_V="SI",Datos!I9,Datos!I9+Datos!Y9)," - ")</f>
        <v>11556</v>
      </c>
      <c r="D9" s="416">
        <f>IF(ISNUMBER(C9/Datos!BH9),C9/Datos!BH9," - ")</f>
        <v>963</v>
      </c>
      <c r="E9" s="415">
        <f>IF(ISNUMBER(IF(J_V="SI",Datos!J9,Datos!J9+Datos!Z9)),IF(J_V="SI",Datos!J9,Datos!J9+Datos!Z9)," - ")</f>
        <v>4888</v>
      </c>
      <c r="F9" s="416">
        <f>IF(ISNUMBER(E9/B9),E9/B9," - ")</f>
        <v>376</v>
      </c>
      <c r="G9" s="415">
        <f>IF(ISNUMBER(IF(J_V="SI",Datos!K9,Datos!K9+Datos!AA9)),IF(J_V="SI",Datos!K9,Datos!K9+Datos!AA9)," - ")</f>
        <v>3875</v>
      </c>
      <c r="H9" s="416">
        <f>IF(ISNUMBER(G9/B9),G9/B9," - ")</f>
        <v>298.07692307692309</v>
      </c>
      <c r="I9" s="415">
        <f>IF(ISNUMBER(IF(J_V="SI",Datos!L9,Datos!L9+Datos!AB9)),IF(J_V="SI",Datos!L9,Datos!L9+Datos!AB9)," - ")</f>
        <v>12569</v>
      </c>
      <c r="J9" s="416">
        <f>IF(ISNUMBER(I9/B9),I9/B9," - ")</f>
        <v>966.84615384615381</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61</v>
      </c>
      <c r="D10" s="416">
        <f>IF(ISNUMBER(C10/Datos!BH10),C10/Datos!BH10," - ")</f>
        <v>61</v>
      </c>
      <c r="E10" s="415">
        <f>IF(ISNUMBER(Datos!J10),Datos!J10," - ")</f>
        <v>22</v>
      </c>
      <c r="F10" s="416">
        <f>IF(ISNUMBER(E10/B10),E10/B10," - ")</f>
        <v>22</v>
      </c>
      <c r="G10" s="415">
        <f>IF(ISNUMBER(Datos!K10),Datos!K10," - ")</f>
        <v>11</v>
      </c>
      <c r="H10" s="416">
        <f>IF(ISNUMBER(G10/B10),G10/B10," - ")</f>
        <v>11</v>
      </c>
      <c r="I10" s="415">
        <f>IF(ISNUMBER(Datos!L10),Datos!L10," - ")</f>
        <v>72</v>
      </c>
      <c r="J10" s="416">
        <f>IF(ISNUMBER(I10/B10),I10/B10," - ")</f>
        <v>72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3</v>
      </c>
      <c r="C11" s="415">
        <f>IF(ISNUMBER(IF(J_V="SI",Datos!I11,Datos!I11+Datos!Y11)),IF(J_V="SI",Datos!I11,Datos!I11+Datos!Y11)," - ")</f>
        <v>1235</v>
      </c>
      <c r="D11" s="416">
        <f>IF(ISNUMBER(C11/Datos!BH11),C11/Datos!BH11," - ")</f>
        <v>411.66666666666669</v>
      </c>
      <c r="E11" s="415">
        <f>IF(ISNUMBER(IF(J_V="SI",Datos!J11,Datos!J11+Datos!Z11)),IF(J_V="SI",Datos!J11,Datos!J11+Datos!Z11)," - ")</f>
        <v>977</v>
      </c>
      <c r="F11" s="416">
        <f>IF(ISNUMBER(E11/B11),E11/B11," - ")</f>
        <v>325.66666666666669</v>
      </c>
      <c r="G11" s="415">
        <f>IF(ISNUMBER(IF(J_V="SI",Datos!K11,Datos!K11+Datos!AA11)),IF(J_V="SI",Datos!K11,Datos!K11+Datos!AA11)," - ")</f>
        <v>720</v>
      </c>
      <c r="H11" s="416">
        <f>IF(ISNUMBER(G11/B11),G11/B11," - ")</f>
        <v>240</v>
      </c>
      <c r="I11" s="415">
        <f>IF(ISNUMBER(IF(J_V="SI",Datos!L11,Datos!L11+Datos!AB11)),IF(J_V="SI",Datos!L11,Datos!L11+Datos!AB11)," - ")</f>
        <v>1492</v>
      </c>
      <c r="J11" s="416">
        <f>IF(ISNUMBER(I11/B11),I11/B11," - ")</f>
        <v>497.33333333333331</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17</v>
      </c>
      <c r="C14" s="996">
        <f>SUBTOTAL(9,C8:C13)</f>
        <v>12852</v>
      </c>
      <c r="D14" s="997" t="str">
        <f>IF(ISNUMBER(C14/Datos!BI14),C14/Datos!BI14," - ")</f>
        <v xml:space="preserve"> - </v>
      </c>
      <c r="E14" s="996">
        <f>SUBTOTAL(9,E8:E13)</f>
        <v>5887</v>
      </c>
      <c r="F14" s="997">
        <f>IF(ISNUMBER(E14/B14),E14/B14," - ")</f>
        <v>346.29411764705884</v>
      </c>
      <c r="G14" s="996">
        <f>SUBTOTAL(9,G8:G13)</f>
        <v>4606</v>
      </c>
      <c r="H14" s="997">
        <f>IF(ISNUMBER(G14/B14),G14/B14," - ")</f>
        <v>270.94117647058823</v>
      </c>
      <c r="I14" s="996">
        <f>SUBTOTAL(9,I8:I13)</f>
        <v>14133</v>
      </c>
      <c r="J14" s="997">
        <f>IF(ISNUMBER(I14/B14),I14/B14," - ")</f>
        <v>831.35294117647061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8</v>
      </c>
      <c r="C16" s="415">
        <f>IF(ISNUMBER(IF(D_I="SI",Datos!I16,Datos!I16+Datos!AC16)),IF(D_I="SI",Datos!I16,Datos!I16+Datos!AC16)," - ")</f>
        <v>2579</v>
      </c>
      <c r="D16" s="416">
        <f>IF(ISNUMBER(C16/Datos!BH16),C16/Datos!BH16," - ")</f>
        <v>322.375</v>
      </c>
      <c r="E16" s="415">
        <f>IF(ISNUMBER(IF(D_I="SI",Datos!J16,Datos!J16+Datos!AD16)),IF(D_I="SI",Datos!J16,Datos!J16+Datos!AD16)," - ")</f>
        <v>5215</v>
      </c>
      <c r="F16" s="416">
        <f>IF(ISNUMBER(E16/B16),E16/B16," - ")</f>
        <v>651.875</v>
      </c>
      <c r="G16" s="415">
        <f>IF(ISNUMBER(IF(D_I="SI",Datos!K16,Datos!K16+Datos!AE16)),IF(D_I="SI",Datos!K16,Datos!K16+Datos!AE16)," - ")</f>
        <v>4534</v>
      </c>
      <c r="H16" s="416">
        <f>IF(ISNUMBER(G16/B16),G16/B16," - ")</f>
        <v>566.75</v>
      </c>
      <c r="I16" s="415">
        <f>IF(ISNUMBER(IF(D_I="SI",Datos!L16,Datos!L16+Datos!AF16)),IF(D_I="SI",Datos!L16,Datos!L16+Datos!AF16)," - ")</f>
        <v>3098</v>
      </c>
      <c r="J16" s="416">
        <f>IF(ISNUMBER(I16/B16),I16/B16," - ")</f>
        <v>387.25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240</v>
      </c>
      <c r="D18" s="416">
        <f>IF(ISNUMBER(C18/Datos!BH18),C18/Datos!BH18," - ")</f>
        <v>240</v>
      </c>
      <c r="E18" s="415">
        <f>IF(ISNUMBER(IF(D_I="SI",Datos!J18,Datos!J18+Datos!AD18)),IF(D_I="SI",Datos!J18,Datos!J18+Datos!AD18)," - ")</f>
        <v>297</v>
      </c>
      <c r="F18" s="416">
        <f>IF(ISNUMBER(E18/B18),E18/B18," - ")</f>
        <v>297</v>
      </c>
      <c r="G18" s="415">
        <f>IF(ISNUMBER(IF(D_I="SI",Datos!K18,Datos!K18+Datos!AE18)),IF(D_I="SI",Datos!K18,Datos!K18+Datos!AE18)," - ")</f>
        <v>261</v>
      </c>
      <c r="H18" s="416">
        <f>IF(ISNUMBER(G18/B18),G18/B18," - ")</f>
        <v>261</v>
      </c>
      <c r="I18" s="415">
        <f>IF(ISNUMBER(IF(D_I="SI",Datos!L18,Datos!L18+Datos!AF18)),IF(D_I="SI",Datos!L18,Datos!L18+Datos!AF18)," - ")</f>
        <v>276</v>
      </c>
      <c r="J18" s="416">
        <f>IF(ISNUMBER(I18/B18),I18/B18," - ")</f>
        <v>276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9</v>
      </c>
      <c r="C20" s="996">
        <f>SUBTOTAL(9,C15:C19)</f>
        <v>2819</v>
      </c>
      <c r="D20" s="997" t="str">
        <f>IF(ISNUMBER(C20/Datos!BI20),C20/Datos!BI20," - ")</f>
        <v xml:space="preserve"> - </v>
      </c>
      <c r="E20" s="996">
        <f>SUBTOTAL(9,E15:E19)</f>
        <v>5512</v>
      </c>
      <c r="F20" s="997">
        <f>IF(ISNUMBER(E20/B20),E20/B20," - ")</f>
        <v>612.44444444444446</v>
      </c>
      <c r="G20" s="996">
        <f>SUBTOTAL(9,G15:G19)</f>
        <v>4795</v>
      </c>
      <c r="H20" s="997">
        <f>IF(ISNUMBER(G20/B20),G20/B20," - ")</f>
        <v>532.77777777777783</v>
      </c>
      <c r="I20" s="996">
        <f>SUBTOTAL(9,I15:I19)</f>
        <v>3374</v>
      </c>
      <c r="J20" s="997">
        <f>IF(ISNUMBER(I20/B20),I20/B20," - ")</f>
        <v>374.88888888888891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25</v>
      </c>
      <c r="C21" s="941">
        <f>SUBTOTAL(9,C9:C20)</f>
        <v>15671</v>
      </c>
      <c r="D21" s="942" t="str">
        <f>IF(ISNUMBER(C21/Datos!BI21),C21/Datos!BI21," - ")</f>
        <v xml:space="preserve"> - </v>
      </c>
      <c r="E21" s="941">
        <f>SUBTOTAL(9,E9:E20)</f>
        <v>11399</v>
      </c>
      <c r="F21" s="942">
        <f>IF(ISNUMBER(E21/B21),E21/B21," - ")</f>
        <v>455.96</v>
      </c>
      <c r="G21" s="941">
        <f>SUBTOTAL(9,G9:G20)</f>
        <v>9401</v>
      </c>
      <c r="H21" s="942">
        <f>IF(ISNUMBER(G21/B21),G21/B21," - ")</f>
        <v>376.04</v>
      </c>
      <c r="I21" s="941">
        <f>SUBTOTAL(9,I9:I20)</f>
        <v>17507</v>
      </c>
      <c r="J21" s="942">
        <f>IF(ISNUMBER(I21/B21),I21/B21," - ")</f>
        <v>700.28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IexXakm+VtfOZ0nS9fv0/sjpaOiwYhQgfUgfXj4b3hL6oUhZYBSn+6Oyl3ShgZ2Mzt/f6zltWxsNPEGeOsrEA==" saltValue="G+/x/pNs7t9SkWW8Uo1p4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PONTEVEDRA  Resumenes por Partidos Judiciales  VIGO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13</v>
      </c>
      <c r="B9" s="653" t="s">
        <v>273</v>
      </c>
      <c r="C9" s="671" t="str">
        <f>Datos!A9</f>
        <v xml:space="preserve">Jdos. 1ª Instancia   </v>
      </c>
      <c r="D9" s="544"/>
      <c r="E9" s="801">
        <f>IF(ISNUMBER(Datos!AQ9),Datos!AQ9," - ")</f>
        <v>13</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61</v>
      </c>
      <c r="G10" s="803">
        <f>IF(ISNUMBER(Datos!I10),Datos!I10," - ")</f>
        <v>61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11</v>
      </c>
      <c r="AC10" s="802" t="str">
        <f>IF(ISNUMBER(IF(D_I="SI",DatosP!K18,DatosP!K18+DatosP!AE18)),IF(D_I="SI",DatosP!K18,DatosP!K18+DatosP!AE18)," - ")</f>
        <v xml:space="preserve"> - </v>
      </c>
      <c r="AD10" s="804"/>
      <c r="AE10" s="804"/>
      <c r="AF10" s="807">
        <f>IF(ISNUMBER(Datos!L10),Datos!L10,"-")</f>
        <v>72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5</v>
      </c>
      <c r="AN10" s="811">
        <f>IF(ISNUMBER(Datos!BW10+DatosP!BW18),Datos!BW10+DatosP!BW18," - ")</f>
        <v>0</v>
      </c>
      <c r="AO10" s="812">
        <f>IF(ISNUMBER(Datos!BX10+DatosP!BX18),Datos!BX10+DatosP!BX18," - ")</f>
        <v>0</v>
      </c>
      <c r="AP10" s="814">
        <f>IF(ISNUMBER(((Datos!L10/Datos!K10)*11)/factor_trimestre),((Datos!L10/Datos!K10)*11)/factor_trimestre," - ")</f>
        <v>19.636363636363637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3</v>
      </c>
      <c r="B11" s="654" t="s">
        <v>273</v>
      </c>
      <c r="C11" s="655" t="str">
        <f>Datos!A11</f>
        <v xml:space="preserve">Jdos. Familia                                   </v>
      </c>
      <c r="D11" s="549"/>
      <c r="E11" s="801">
        <f>IF(ISNUMBER(Datos!AQ11),Datos!AQ11," - ")</f>
        <v>3</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17</v>
      </c>
      <c r="F14" s="1085">
        <f t="shared" si="0"/>
        <v>61</v>
      </c>
      <c r="G14" s="1085">
        <f t="shared" si="0"/>
        <v>61</v>
      </c>
      <c r="H14" s="1085">
        <f t="shared" si="0"/>
        <v>0</v>
      </c>
      <c r="I14" s="1087">
        <f t="shared" si="0"/>
        <v>0</v>
      </c>
      <c r="J14" s="1086">
        <f t="shared" si="0"/>
        <v>0</v>
      </c>
      <c r="K14" s="1086">
        <f t="shared" si="0"/>
        <v>0</v>
      </c>
      <c r="L14" s="1088">
        <f t="shared" si="0"/>
        <v>0</v>
      </c>
      <c r="M14" s="1088">
        <f t="shared" si="0"/>
        <v>0</v>
      </c>
      <c r="N14" s="1086">
        <f t="shared" si="0"/>
        <v>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11</v>
      </c>
      <c r="AC14" s="1086">
        <f t="shared" si="1"/>
        <v>0</v>
      </c>
      <c r="AD14" s="1086">
        <f t="shared" si="1"/>
        <v>0</v>
      </c>
      <c r="AE14" s="1086">
        <f t="shared" si="1"/>
        <v>0</v>
      </c>
      <c r="AF14" s="1086">
        <f t="shared" si="1"/>
        <v>72</v>
      </c>
      <c r="AG14" s="1086">
        <f t="shared" si="1"/>
        <v>0</v>
      </c>
      <c r="AH14" s="1086">
        <f t="shared" si="1"/>
        <v>0</v>
      </c>
      <c r="AI14" s="1086">
        <f t="shared" si="1"/>
        <v>0</v>
      </c>
      <c r="AJ14" s="1086">
        <f t="shared" si="1"/>
        <v>0</v>
      </c>
      <c r="AK14" s="1086">
        <f t="shared" si="1"/>
        <v>0</v>
      </c>
      <c r="AL14" s="1086">
        <f t="shared" si="1"/>
        <v>2</v>
      </c>
      <c r="AM14" s="1086">
        <f t="shared" si="1"/>
        <v>5</v>
      </c>
      <c r="AN14" s="1086">
        <f t="shared" si="1"/>
        <v>0</v>
      </c>
      <c r="AO14" s="1086">
        <f t="shared" si="1"/>
        <v>0</v>
      </c>
      <c r="AP14" s="1091">
        <f>IF(ISNUMBER(((Datos!L14/Datos!K14)*11)/factor_trimestre),((Datos!L14/Datos!K14)*11)/factor_trimestre," - ")</f>
        <v>10.030303030303031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-0.18032786885245902</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8</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2.1109489051094892</v>
      </c>
      <c r="AQ20" s="1091">
        <f>IF(ISNUMBER(((Datos!M20/Datos!L20)*11)/factor_trimestre),((Datos!M20/Datos!L20)*11)/factor_trimestre," - ")</f>
        <v>0.52993479549496159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9.9827882960413075E-2</v>
      </c>
      <c r="AW20" s="1093">
        <f>IF(ISNUMBER((Datos!Q20-Datos!R20)/(Datos!S20-Datos!Q20+Datos!R20)),(Datos!Q20-Datos!R20)/(Datos!S20-Datos!Q20+Datos!R20)," - ")</f>
        <v>-0.18204941860465115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17</v>
      </c>
      <c r="F21" s="1098">
        <f t="shared" si="4"/>
        <v>61</v>
      </c>
      <c r="G21" s="1098">
        <f t="shared" si="4"/>
        <v>61</v>
      </c>
      <c r="H21" s="1098">
        <f t="shared" si="4"/>
        <v>0</v>
      </c>
      <c r="I21" s="1099">
        <f t="shared" si="4"/>
        <v>0</v>
      </c>
      <c r="J21" s="1100">
        <f t="shared" si="4"/>
        <v>0</v>
      </c>
      <c r="K21" s="1100">
        <f t="shared" si="4"/>
        <v>0</v>
      </c>
      <c r="L21" s="1100">
        <f t="shared" si="4"/>
        <v>0</v>
      </c>
      <c r="M21" s="1100">
        <f t="shared" si="4"/>
        <v>0</v>
      </c>
      <c r="N21" s="1099">
        <f t="shared" si="4"/>
        <v>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11</v>
      </c>
      <c r="AC21" s="1104">
        <f t="shared" si="5"/>
        <v>0</v>
      </c>
      <c r="AD21" s="1104">
        <f t="shared" si="5"/>
        <v>0</v>
      </c>
      <c r="AE21" s="1104">
        <f t="shared" si="5"/>
        <v>0</v>
      </c>
      <c r="AF21" s="1105">
        <f t="shared" si="5"/>
        <v>72</v>
      </c>
      <c r="AG21" s="1105">
        <f t="shared" si="5"/>
        <v>0</v>
      </c>
      <c r="AH21" s="1105">
        <f t="shared" si="5"/>
        <v>0</v>
      </c>
      <c r="AI21" s="1105">
        <f t="shared" si="5"/>
        <v>0</v>
      </c>
      <c r="AJ21" s="1106">
        <f t="shared" si="5"/>
        <v>0</v>
      </c>
      <c r="AK21" s="1106">
        <f t="shared" si="5"/>
        <v>0</v>
      </c>
      <c r="AL21" s="1098">
        <f t="shared" si="5"/>
        <v>2</v>
      </c>
      <c r="AM21" s="1098">
        <f t="shared" si="5"/>
        <v>5</v>
      </c>
      <c r="AN21" s="1098">
        <f t="shared" si="5"/>
        <v>0</v>
      </c>
      <c r="AO21" s="1098">
        <f t="shared" si="5"/>
        <v>0</v>
      </c>
      <c r="AP21" s="1098">
        <f>IF(ISNUMBER(((Datos!L21/Datos!K21)*11)/factor_trimestre),((Datos!L21/Datos!K21)*11)/factor_trimestre," - ")</f>
        <v>5.7414727806641075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-0.18032786885245902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-1.6866708780795957E-2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40.666666666666664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7.1046597720221962</v>
      </c>
      <c r="F23" s="870">
        <f>IF(ISNUMBER(STDEV(F8:F20)),STDEV(F8:F20),"-")</f>
        <v>35.218366420567172</v>
      </c>
      <c r="G23" s="871">
        <f>IF(ISNUMBER(STDEV(G8:G20)),STDEV(G8:G20),"-")</f>
        <v>35.218366420567172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6.3508529610858826</v>
      </c>
      <c r="AC23" s="872">
        <f>IF(ISNUMBER(STDEV(AC8:AC20)),STDEV(AC8:AC20),"-")</f>
        <v>0</v>
      </c>
      <c r="AD23" s="875"/>
      <c r="AE23" s="875"/>
      <c r="AF23" s="875"/>
      <c r="AG23" s="875"/>
      <c r="AH23" s="875"/>
      <c r="AI23" s="875"/>
      <c r="AJ23" s="876">
        <f>IF(ISNUMBER(STDEV(AJ8:AJ20)),STDEV(AJ8:AJ20),"-")</f>
        <v>0</v>
      </c>
      <c r="AK23" s="878"/>
      <c r="AL23" s="870">
        <f>IF(ISNUMBER(STDEV(AL8:AL20)),STDEV(AL8:AL20),"-")</f>
        <v>1.1547005383792517</v>
      </c>
      <c r="AM23" s="870"/>
      <c r="AN23" s="870">
        <f>IF(ISNUMBER(STDEV(AN8:AN20)),STDEV(AN8:AN20),"-")</f>
        <v>0</v>
      </c>
      <c r="AO23" s="876">
        <f>IF(ISNUMBER(STDEV(AO8:AO20)),STDEV(AO8:AO20),"-")</f>
        <v>0</v>
      </c>
      <c r="AP23" s="923">
        <f>IF(ISNUMBER(STDEV(AP8:AP20)),STDEV(AP8:AP20),"-")</f>
        <v>8.776224811291673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2ps7O0lyNKUZJKsC4IA18kQIVQoPKqjc3n+3qt4cJhOpilSXcBqhHa1atA5Kq24lkf+Bx4IxcfgGq539eV8+w==" saltValue="ryjHrd0JqBcDYqwqji5E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PONTEVEDRA</v>
      </c>
      <c r="C3" s="427"/>
      <c r="F3" s="400"/>
      <c r="G3" s="400"/>
      <c r="H3" s="400"/>
    </row>
    <row r="4" spans="1:15" ht="13.5" thickBot="1">
      <c r="A4" s="400"/>
      <c r="B4" s="403" t="str">
        <f>Criterios!A11 &amp;"  "&amp;Criterios!B11</f>
        <v>Resumenes por Partidos Judiciales  VIGO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13</v>
      </c>
      <c r="D9" s="415">
        <f>Datos!BK9</f>
        <v>0</v>
      </c>
      <c r="E9" s="415">
        <f>Datos!AQ9</f>
        <v>13</v>
      </c>
      <c r="F9" s="416">
        <f>IF(ISNUMBER(E9/Datos!BH9),E9/Datos!BH9," - ")</f>
        <v>1.0833333333333333</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3</v>
      </c>
      <c r="D11" s="415">
        <f>Datos!BK11</f>
        <v>0</v>
      </c>
      <c r="E11" s="415">
        <f>Datos!AQ11</f>
        <v>3</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8</v>
      </c>
      <c r="D16" s="415">
        <f>Datos!BK16</f>
        <v>0</v>
      </c>
      <c r="E16" s="415">
        <f>Datos!AQ16</f>
        <v>8</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iAUxVpv6JAqXzIkMYtOXBHfFc6vTlaAVof8FB5xYtBvCnbMVvoacsJpytMMca9ZcQskZnkwaKev2abfMdTUuUg==" saltValue="vdvi7HhFemdmKM5Qp3Tme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PONTEVEDRA</v>
      </c>
      <c r="C3" s="439"/>
      <c r="D3" s="440"/>
    </row>
    <row r="4" spans="1:9" ht="13.5" thickBot="1">
      <c r="B4" s="441" t="str">
        <f>Criterios!A11 &amp;"  "&amp;Criterios!B11</f>
        <v>Resumenes por Partidos Judiciales  VIGO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13</v>
      </c>
      <c r="C9" s="422">
        <f>Datos!AQ9</f>
        <v>13</v>
      </c>
      <c r="D9" s="415">
        <f>IF(ISNUMBER(Datos!M9),Datos!M9," - ")</f>
        <v>1228</v>
      </c>
      <c r="E9" s="416">
        <f t="shared" ref="E9:E14" si="0">IF(ISNUMBER(D9/B9),D9/B9," - ")</f>
        <v>94.461538461538467</v>
      </c>
      <c r="F9" s="415">
        <f>IF(ISNUMBER(Datos!N9),Datos!N9," - ")</f>
        <v>1495</v>
      </c>
      <c r="G9" s="416">
        <f t="shared" ref="G9:G14" si="1">IF(ISNUMBER(F9/B9),F9/B9," - ")</f>
        <v>115</v>
      </c>
      <c r="H9" s="415">
        <f>IF(ISNUMBER(Datos!O9),Datos!O9," - ")</f>
        <v>1338</v>
      </c>
      <c r="I9" s="416">
        <f>IF(ISNUMBER(H9/B9),H9/B9," - ")</f>
        <v>102.92307692307692</v>
      </c>
    </row>
    <row r="10" spans="1:9">
      <c r="A10" s="414" t="str">
        <f>Datos!A10</f>
        <v>Jdos. Violencia contra la mujer</v>
      </c>
      <c r="B10" s="444">
        <f>Datos!AO10</f>
        <v>1</v>
      </c>
      <c r="C10" s="422">
        <f>Datos!AQ10</f>
        <v>1</v>
      </c>
      <c r="D10" s="415">
        <f>IF(ISNUMBER(Datos!M10),Datos!M10," - ")</f>
        <v>2</v>
      </c>
      <c r="E10" s="416">
        <f>IF(ISNUMBER(D10/B10),D10/B10," - ")</f>
        <v>2</v>
      </c>
      <c r="F10" s="415">
        <f>IF(ISNUMBER(Datos!N10),Datos!N10," - ")</f>
        <v>5</v>
      </c>
      <c r="G10" s="416">
        <f>IF(ISNUMBER(F10/B10),F10/B10," - ")</f>
        <v>5</v>
      </c>
      <c r="H10" s="415">
        <f>IF(ISNUMBER(Datos!O10),Datos!O10," - ")</f>
        <v>3</v>
      </c>
      <c r="I10" s="416">
        <f t="shared" ref="I10:I13" si="2">IF(ISNUMBER(H10/B10),H10/B10," - ")</f>
        <v>3</v>
      </c>
    </row>
    <row r="11" spans="1:9">
      <c r="A11" s="414" t="str">
        <f>Datos!A11</f>
        <v xml:space="preserve">Jdos. Familia                                   </v>
      </c>
      <c r="B11" s="444">
        <f>Datos!AO11</f>
        <v>3</v>
      </c>
      <c r="C11" s="422">
        <f>Datos!AQ11</f>
        <v>3</v>
      </c>
      <c r="D11" s="415">
        <f>IF(ISNUMBER(Datos!M11),Datos!M11," - ")</f>
        <v>151</v>
      </c>
      <c r="E11" s="416">
        <f t="shared" si="0"/>
        <v>50.333333333333336</v>
      </c>
      <c r="F11" s="415">
        <f>IF(ISNUMBER(Datos!N11),Datos!N11," - ")</f>
        <v>556</v>
      </c>
      <c r="G11" s="416">
        <f t="shared" si="1"/>
        <v>185.33333333333334</v>
      </c>
      <c r="H11" s="415">
        <f>IF(ISNUMBER(Datos!O11),Datos!O11," - ")</f>
        <v>89</v>
      </c>
      <c r="I11" s="416">
        <f t="shared" si="2"/>
        <v>29.666666666666668</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17</v>
      </c>
      <c r="C14" s="998">
        <f>Datos!AR14</f>
        <v>17</v>
      </c>
      <c r="D14" s="996">
        <f>SUBTOTAL(9,D9:D13)</f>
        <v>1381</v>
      </c>
      <c r="E14" s="997">
        <f t="shared" si="0"/>
        <v>81.235294117647058</v>
      </c>
      <c r="F14" s="996">
        <f>SUBTOTAL(9,F9:F13)</f>
        <v>2056</v>
      </c>
      <c r="G14" s="997">
        <f t="shared" si="1"/>
        <v>120.94117647058823</v>
      </c>
      <c r="H14" s="996">
        <f>SUBTOTAL(9,H9:H13)</f>
        <v>1430</v>
      </c>
      <c r="I14" s="997">
        <f>IF(ISNUMBER(H14/B14),H14/B14," - ")</f>
        <v>84.117647058823536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8</v>
      </c>
      <c r="C16" s="445">
        <f>Datos!AQ16</f>
        <v>8</v>
      </c>
      <c r="D16" s="415">
        <f>IF(ISNUMBER(Datos!M16),Datos!M16," - ")</f>
        <v>559</v>
      </c>
      <c r="E16" s="416">
        <f t="shared" ref="E16:E20" si="3">IF(ISNUMBER(D16/B16),D16/B16," - ")</f>
        <v>69.875</v>
      </c>
      <c r="F16" s="415">
        <f>IF(ISNUMBER(Datos!N16),Datos!N16," - ")</f>
        <v>2830</v>
      </c>
      <c r="G16" s="416">
        <f t="shared" ref="G16:G20" si="4">IF(ISNUMBER(F16/B16),F16/B16," - ")</f>
        <v>353.75</v>
      </c>
      <c r="H16" s="415">
        <f>IF(ISNUMBER(Datos!O16),Datos!O16," - ")</f>
        <v>61</v>
      </c>
      <c r="I16" s="416">
        <f t="shared" ref="I16:I19" si="5">IF(ISNUMBER(H16/B16),H16/B16," - ")</f>
        <v>7.625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37</v>
      </c>
      <c r="E18" s="416">
        <f>IF(ISNUMBER(D18/B18),D18/B18," - ")</f>
        <v>37</v>
      </c>
      <c r="F18" s="415">
        <f>IF(ISNUMBER(Datos!N18),Datos!N18," - ")</f>
        <v>159</v>
      </c>
      <c r="G18" s="416">
        <f>IF(ISNUMBER(F18/B18),F18/B18," - ")</f>
        <v>159</v>
      </c>
      <c r="H18" s="415">
        <f>IF(ISNUMBER(Datos!O18),Datos!O18," - ")</f>
        <v>2</v>
      </c>
      <c r="I18" s="416">
        <f t="shared" si="5"/>
        <v>2</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9</v>
      </c>
      <c r="C20" s="998">
        <f>Datos!AR20</f>
        <v>9</v>
      </c>
      <c r="D20" s="996">
        <f>SUBTOTAL(9,D16:D19)</f>
        <v>596</v>
      </c>
      <c r="E20" s="997">
        <f t="shared" si="3"/>
        <v>66.222222222222229</v>
      </c>
      <c r="F20" s="996">
        <f>SUBTOTAL(9,F16:F19)</f>
        <v>2989</v>
      </c>
      <c r="G20" s="997">
        <f t="shared" si="4"/>
        <v>332.11111111111109</v>
      </c>
      <c r="H20" s="996">
        <f>SUBTOTAL(9,H16:H19)</f>
        <v>63</v>
      </c>
      <c r="I20" s="997">
        <f>IF(ISNUMBER(H20/B20),H20/B20," - ")</f>
        <v>7</v>
      </c>
    </row>
    <row r="21" spans="1:9" ht="14.25" thickTop="1" thickBot="1">
      <c r="A21" s="940" t="str">
        <f>Datos!A21</f>
        <v>TOTAL JURISDICCIONES</v>
      </c>
      <c r="B21" s="941">
        <f>Datos!AP21</f>
        <v>25</v>
      </c>
      <c r="C21" s="941">
        <f>Datos!AR21</f>
        <v>25</v>
      </c>
      <c r="D21" s="941">
        <f>SUBTOTAL(9,D8:D20)</f>
        <v>1977</v>
      </c>
      <c r="E21" s="942">
        <f>IF(ISNUMBER(D21/B21),D21/B21," - ")</f>
        <v>79.08</v>
      </c>
      <c r="F21" s="941">
        <f>SUBTOTAL(9,F8:F20)</f>
        <v>5045</v>
      </c>
      <c r="G21" s="942">
        <f>IF(ISNUMBER(F21/B21),F21/B21," - ")</f>
        <v>201.8</v>
      </c>
      <c r="H21" s="941">
        <f>SUBTOTAL(9,H8:H20)</f>
        <v>1493</v>
      </c>
      <c r="I21" s="942">
        <f>IF(ISNUMBER(H21/B21),H21/B21," - ")</f>
        <v>59.72</v>
      </c>
    </row>
    <row r="24" spans="1:9">
      <c r="A24" s="403" t="str">
        <f>Criterios!A4</f>
        <v>Fecha Informe: 06 jun. 2023</v>
      </c>
    </row>
    <row r="29" spans="1:9">
      <c r="A29" s="426"/>
    </row>
  </sheetData>
  <sheetProtection algorithmName="SHA-512" hashValue="4y/PU+/wCvTZRErtUPmmKfS4RoEvIdu3OxZES3IDSSGCNBRqVq/5JKmJ6hGoU5HG8cbTI+LnpMfOQcik0BT28w==" saltValue="1W6nsHxc/IxFczXZWsbb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PONTEVEDRA</v>
      </c>
    </row>
    <row r="4" spans="1:4" ht="13.5" thickBot="1">
      <c r="B4" s="403" t="str">
        <f>Criterios!A11 &amp;"  "&amp;Criterios!B11</f>
        <v>Resumenes por Partidos Judiciales  VIGO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766</v>
      </c>
      <c r="C9" s="451">
        <f>IF(ISNUMBER(Datos!Q9),Datos!Q9," - ")</f>
        <v>882</v>
      </c>
      <c r="D9" s="420">
        <f>IF(ISNUMBER(Datos!R9),Datos!R9," - ")</f>
        <v>14020</v>
      </c>
    </row>
    <row r="10" spans="1:4">
      <c r="A10" s="414" t="str">
        <f>Datos!A10</f>
        <v>Jdos. Violencia contra la mujer</v>
      </c>
      <c r="B10" s="450">
        <f>IF(ISNUMBER(Datos!P10),Datos!P10," - ")</f>
        <v>3</v>
      </c>
      <c r="C10" s="451">
        <f>IF(ISNUMBER(Datos!Q10),Datos!Q10," - ")</f>
        <v>0</v>
      </c>
      <c r="D10" s="420">
        <f>IF(ISNUMBER(Datos!R10),Datos!R10," - ")</f>
        <v>100</v>
      </c>
    </row>
    <row r="11" spans="1:4">
      <c r="A11" s="414" t="str">
        <f>Datos!A11</f>
        <v xml:space="preserve">Jdos. Familia                                   </v>
      </c>
      <c r="B11" s="450">
        <f>IF(ISNUMBER(Datos!P11),Datos!P11," - ")</f>
        <v>95</v>
      </c>
      <c r="C11" s="451">
        <f>IF(ISNUMBER(Datos!Q11),Datos!Q11," - ")</f>
        <v>307</v>
      </c>
      <c r="D11" s="420">
        <f>IF(ISNUMBER(Datos!R11),Datos!R11," - ")</f>
        <v>804</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864</v>
      </c>
      <c r="C14" s="1000">
        <f>SUBTOTAL(9,C9:C13)</f>
        <v>1189</v>
      </c>
      <c r="D14" s="998">
        <f>SUBTOTAL(9,D9:D13)</f>
        <v>14924</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188</v>
      </c>
      <c r="C16" s="451">
        <f>IF(ISNUMBER(Datos!Q16),Datos!Q16," - ")</f>
        <v>136</v>
      </c>
      <c r="D16" s="420">
        <f>IF(ISNUMBER(Datos!R16),Datos!R16," - ")</f>
        <v>631</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8</v>
      </c>
      <c r="C18" s="451">
        <f>IF(ISNUMBER(Datos!Q18),Datos!Q18," - ")</f>
        <v>2</v>
      </c>
      <c r="D18" s="420">
        <f>IF(ISNUMBER(Datos!R18),Datos!R18," - ")</f>
        <v>8</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196</v>
      </c>
      <c r="C20" s="1000">
        <f>SUBTOTAL(9,C16:C19)</f>
        <v>138</v>
      </c>
      <c r="D20" s="998">
        <f>SUBTOTAL(9,D16:D19)</f>
        <v>639</v>
      </c>
    </row>
    <row r="21" spans="1:4" ht="16.5" customHeight="1" thickTop="1" thickBot="1">
      <c r="A21" s="940" t="str">
        <f>Datos!A21</f>
        <v>TOTAL JURISDICCIONES</v>
      </c>
      <c r="B21" s="945">
        <f>SUBTOTAL(9,B8:B20)</f>
        <v>1060</v>
      </c>
      <c r="C21" s="946">
        <f>SUBTOTAL(9,C8:C20)</f>
        <v>1327</v>
      </c>
      <c r="D21" s="947">
        <f>SUBTOTAL(9,D8:D20)</f>
        <v>15563</v>
      </c>
    </row>
    <row r="22" spans="1:4" ht="7.5" customHeight="1"/>
    <row r="23" spans="1:4" ht="6" customHeight="1"/>
    <row r="24" spans="1:4">
      <c r="A24" s="403" t="str">
        <f>Criterios!A4</f>
        <v>Fecha Informe: 06 jun. 2023</v>
      </c>
    </row>
    <row r="29" spans="1:4">
      <c r="A29" s="426"/>
    </row>
  </sheetData>
  <sheetProtection algorithmName="SHA-512" hashValue="LffmiNXirTgu3P5qfg1UAvJOd9srjnD2hKDLWmvqszhXivtQHCgKKXT4O5RmJMBJ2lGgBBBlT0UocVY8O3fVug==" saltValue="n4GbzG/o45S3F3P0HEXd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PONTEVEDRA</v>
      </c>
    </row>
    <row r="4" spans="1:11" ht="10.5" customHeight="1" thickBot="1">
      <c r="B4" s="403" t="str">
        <f>Criterios!A11 &amp;"  "&amp;Criterios!B11</f>
        <v>Resumenes por Partidos Judiciales  VIGO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-3.4828363818591834E-2</v>
      </c>
      <c r="C9" s="473">
        <f>IF(ISNUMBER(
   IF(J_V="SI",(Datos!J9-Datos!T9)/Datos!T9,(Datos!J9+Datos!Z9-(Datos!T9+Datos!AH9))/(Datos!T9+Datos!AH9))
     ),IF(J_V="SI",(Datos!J9-Datos!T9)/Datos!T9,(Datos!J9+Datos!Z9-(Datos!T9+Datos!AH9))/(Datos!T9+Datos!AH9))," - ")</f>
        <v>6.3302153578420714E-2</v>
      </c>
      <c r="D9" s="473">
        <f>IF(ISNUMBER(
   IF(J_V="SI",(Datos!K9-Datos!U9)/Datos!U9,(Datos!K9+Datos!AA9-(Datos!U9+Datos!AI9))/(Datos!U9+Datos!AI9))
     ),IF(J_V="SI",(Datos!K9-Datos!U9)/Datos!U9,(Datos!K9+Datos!AA9-(Datos!U9+Datos!AI9))/(Datos!U9+Datos!AI9))," - ")</f>
        <v>-0.28174235403151066</v>
      </c>
      <c r="E9" s="473">
        <f>IF(ISNUMBER(
   IF(J_V="SI",(Datos!L9-Datos!V9)/Datos!V9,(Datos!L9+Datos!AB9-(Datos!V9+Datos!AJ9))/(Datos!V9+Datos!AJ9))
     ),IF(J_V="SI",(Datos!L9-Datos!V9)/Datos!V9,(Datos!L9+Datos!AB9-(Datos!V9+Datos!AJ9))/(Datos!V9+Datos!AJ9))," - ")</f>
        <v>0.12756795550372296</v>
      </c>
      <c r="F9" s="473">
        <f>IF(ISNUMBER((Datos!M9-Datos!W9)/Datos!W9),(Datos!M9-Datos!W9)/Datos!W9," - ")</f>
        <v>-0.19157340355497038</v>
      </c>
      <c r="G9" s="474">
        <f>IF(ISNUMBER((Datos!N9-Datos!X9)/Datos!X9),(Datos!N9-Datos!X9)/Datos!X9," - ")</f>
        <v>-0.21439831844456123</v>
      </c>
      <c r="H9" s="472">
        <f>IF(ISNUMBER(((NºAsuntos!G9/NºAsuntos!E9)-Datos!BD9)/Datos!BD9),((NºAsuntos!G9/NºAsuntos!E9)-Datos!BD9)/Datos!BD9," - ")</f>
        <v>-0.32450278262742516</v>
      </c>
      <c r="I9" s="473">
        <f>IF(ISNUMBER(((NºAsuntos!I9/NºAsuntos!G9)-Datos!BE9)/Datos!BE9),((NºAsuntos!I9/NºAsuntos!G9)-Datos!BE9)/Datos!BE9," - ")</f>
        <v>0.56986557934002202</v>
      </c>
      <c r="J9" s="478">
        <f>IF(ISNUMBER((('Resol  Asuntos'!D9/NºAsuntos!G9)-Datos!BF9)/Datos!BF9),(('Resol  Asuntos'!D9/NºAsuntos!G9)-Datos!BF9)/Datos!BF9," - ")</f>
        <v>-0.10158018747987037</v>
      </c>
      <c r="K9" s="479">
        <f>IF(ISNUMBER((((NºAsuntos!C9+NºAsuntos!E9)/NºAsuntos!G9)-Datos!BG9)/Datos!BG9),(((NºAsuntos!C9+NºAsuntos!E9)/NºAsuntos!G9)-Datos!BG9)/Datos!BG9," - ")</f>
        <v>0.38167118967430458</v>
      </c>
    </row>
    <row r="10" spans="1:11">
      <c r="A10" s="414" t="str">
        <f>Datos!A10</f>
        <v>Jdos. Violencia contra la mujer</v>
      </c>
      <c r="B10" s="472">
        <f>IF(ISNUMBER((Datos!I10-Datos!S10)/Datos!S10),(Datos!I10-Datos!S10)/Datos!S10," - ")</f>
        <v>0.24489795918367346</v>
      </c>
      <c r="C10" s="473">
        <f>IF(ISNUMBER((Datos!J10-Datos!T10)/Datos!T10),(Datos!J10-Datos!T10)/Datos!T10," - ")</f>
        <v>-0.2413793103448276</v>
      </c>
      <c r="D10" s="473">
        <f>IF(ISNUMBER((Datos!K10-Datos!U10)/Datos!U10),(Datos!K10-Datos!U10)/Datos!U10," - ")</f>
        <v>-0.65625</v>
      </c>
      <c r="E10" s="473">
        <f>IF(ISNUMBER((Datos!L10-Datos!V10)/Datos!V10),(Datos!L10-Datos!V10)/Datos!V10," - ")</f>
        <v>0.56521739130434778</v>
      </c>
      <c r="F10" s="473">
        <f>IF(ISNUMBER((Datos!M10-Datos!W10)/Datos!W10),(Datos!M10-Datos!W10)/Datos!W10," - ")</f>
        <v>-0.5</v>
      </c>
      <c r="G10" s="474">
        <f>IF(ISNUMBER((Datos!N10-Datos!X10)/Datos!X10),(Datos!N10-Datos!X10)/Datos!X10," - ")</f>
        <v>-0.80769230769230771</v>
      </c>
      <c r="H10" s="472">
        <f>IF(ISNUMBER(((NºAsuntos!G10/NºAsuntos!E10)-Datos!BD10)/Datos!BD10),((NºAsuntos!G10/NºAsuntos!E10)-Datos!BD10)/Datos!BD10," - ")</f>
        <v>-0.546875</v>
      </c>
      <c r="I10" s="473">
        <f>IF(ISNUMBER(((NºAsuntos!I10/NºAsuntos!G10)-Datos!BE10)/Datos!BE10),((NºAsuntos!I10/NºAsuntos!G10)-Datos!BE10)/Datos!BE10," - ")</f>
        <v>3.5533596837944668</v>
      </c>
      <c r="J10" s="478">
        <f>IF(ISNUMBER((('Resol  Asuntos'!D10/NºAsuntos!G10)-Datos!BF10)/Datos!BF10),(('Resol  Asuntos'!D10/NºAsuntos!G10)-Datos!BF10)/Datos!BF10," - ")</f>
        <v>0.45454545454545459</v>
      </c>
      <c r="K10" s="479">
        <f>IF(ISNUMBER((((NºAsuntos!C10+NºAsuntos!E10)/NºAsuntos!G10)-Datos!BG10)/Datos!BG10),(((NºAsuntos!C10+NºAsuntos!E10)/NºAsuntos!G10)-Datos!BG10)/Datos!BG10," - ")</f>
        <v>2.0955710955710956</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-0.19805194805194806</v>
      </c>
      <c r="C11" s="473">
        <f>IF(ISNUMBER(
   IF(J_V="SI",(Datos!J11-Datos!T11)/Datos!T11,(Datos!J11+Datos!Z11-(Datos!T11+Datos!AH11))/(Datos!T11+Datos!AH11))
     ),IF(J_V="SI",(Datos!J11-Datos!T11)/Datos!T11,(Datos!J11+Datos!Z11-(Datos!T11+Datos!AH11))/(Datos!T11+Datos!AH11))," - ")</f>
        <v>6.0803474484256242E-2</v>
      </c>
      <c r="D11" s="473">
        <f>IF(ISNUMBER(
   IF(J_V="SI",(Datos!K11-Datos!U11)/Datos!U11,(Datos!K11+Datos!AA11-(Datos!U11+Datos!AI11))/(Datos!U11+Datos!AI11))
     ),IF(J_V="SI",(Datos!K11-Datos!U11)/Datos!U11,(Datos!K11+Datos!AA11-(Datos!U11+Datos!AI11))/(Datos!U11+Datos!AI11))," - ")</f>
        <v>-0.31558935361216728</v>
      </c>
      <c r="E11" s="473">
        <f>IF(ISNUMBER(
   IF(J_V="SI",(Datos!L11-Datos!V11)/Datos!V11,(Datos!L11+Datos!AB11-(Datos!V11+Datos!AJ11))/(Datos!V11+Datos!AJ11))
     ),IF(J_V="SI",(Datos!L11-Datos!V11)/Datos!V11,(Datos!L11+Datos!AB11-(Datos!V11+Datos!AJ11))/(Datos!V11+Datos!AJ11))," - ")</f>
        <v>5.3672316384180789E-2</v>
      </c>
      <c r="F11" s="473">
        <f>IF(ISNUMBER((Datos!M11-Datos!W11)/Datos!W11),(Datos!M11-Datos!W11)/Datos!W11," - ")</f>
        <v>-0.5049180327868853</v>
      </c>
      <c r="G11" s="474">
        <f>IF(ISNUMBER((Datos!N11-Datos!X11)/Datos!X11),(Datos!N11-Datos!X11)/Datos!X11," - ")</f>
        <v>-5.1194539249146756E-2</v>
      </c>
      <c r="H11" s="472">
        <f>IF(ISNUMBER(((NºAsuntos!G11/NºAsuntos!E11)-Datos!BD11)/Datos!BD11),((NºAsuntos!G11/NºAsuntos!E11)-Datos!BD11)/Datos!BD11," - ")</f>
        <v>-0.35481862300594275</v>
      </c>
      <c r="I11" s="473">
        <f>IF(ISNUMBER(((NºAsuntos!I11/NºAsuntos!G11)-Datos!BE11)/Datos!BE11),((NºAsuntos!I11/NºAsuntos!G11)-Datos!BE11)/Datos!BE11," - ")</f>
        <v>0.53953232893910874</v>
      </c>
      <c r="J11" s="478">
        <f>IF(ISNUMBER((('Resol  Asuntos'!D11/NºAsuntos!G11)-Datos!BF11)/Datos!BF11),(('Resol  Asuntos'!D11/NºAsuntos!G11)-Datos!BF11)/Datos!BF11," - ")</f>
        <v>-0.62350208570345089</v>
      </c>
      <c r="K11" s="479">
        <f>IF(ISNUMBER((((NºAsuntos!C11+NºAsuntos!E11)/NºAsuntos!G11)-Datos!BG11)/Datos!BG11),(((NºAsuntos!C11+NºAsuntos!E11)/NºAsuntos!G11)-Datos!BG11)/Datos!BG11," - ")</f>
        <v>0.31327825183981223</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-5.2352160448311459E-2</v>
      </c>
      <c r="C14" s="1002">
        <f>IF(ISNUMBER(
   IF(J_V="SI",(Datos!J14-Datos!T14)/Datos!T14,(Datos!J14+Datos!Z14-(Datos!T14+Datos!AH14))/(Datos!T14+Datos!AH14))
     ),IF(J_V="SI",(Datos!J14-Datos!T14)/Datos!T14,(Datos!J14+Datos!Z14-(Datos!T14+Datos!AH14))/(Datos!T14+Datos!AH14))," - ")</f>
        <v>6.1294393365783309E-2</v>
      </c>
      <c r="D14" s="1002">
        <f>IF(ISNUMBER(
   IF(J_V="SI",(Datos!K14-Datos!U14)/Datos!U14,(Datos!K14+Datos!AA14-(Datos!U14+Datos!AI14))/(Datos!U14+Datos!AI14))
     ),IF(J_V="SI",(Datos!K14-Datos!U14)/Datos!U14,(Datos!K14+Datos!AA14-(Datos!U14+Datos!AI14))/(Datos!U14+Datos!AI14))," - ")</f>
        <v>-0.28908782219478313</v>
      </c>
      <c r="E14" s="1002">
        <f>IF(ISNUMBER(
   IF(J_V="SI",(Datos!L14-Datos!V14)/Datos!V14,(Datos!L14+Datos!AB14-(Datos!V14+Datos!AJ14))/(Datos!V14+Datos!AJ14))
     ),IF(J_V="SI",(Datos!L14-Datos!V14)/Datos!V14,(Datos!L14+Datos!AB14-(Datos!V14+Datos!AJ14))/(Datos!V14+Datos!AJ14))," - ")</f>
        <v>0.12086604806090888</v>
      </c>
      <c r="F14" s="1003">
        <f>IF(ISNUMBER((Datos!M14-Datos!W14)/Datos!W14),(Datos!M14-Datos!W14)/Datos!W14," - ")</f>
        <v>-0.24452954048140044</v>
      </c>
      <c r="G14" s="1004">
        <f>IF(ISNUMBER((Datos!N14-Datos!X14)/Datos!X14),(Datos!N14-Datos!X14)/Datos!X14," - ")</f>
        <v>-0.18250497017892645</v>
      </c>
      <c r="H14" s="1004">
        <f>IF(ISNUMBER(((NºAsuntos!G14/NºAsuntos!E14)-Datos!BD14)/Datos!BD14),((NºAsuntos!G14/NºAsuntos!E14)-Datos!BD14)/Datos!BD14," - ")</f>
        <v>-0.33014611002453914</v>
      </c>
      <c r="I14" s="1004">
        <f>IF(ISNUMBER(((NºAsuntos!I14/NºAsuntos!G14)-Datos!BE14)/Datos!BE14),((NºAsuntos!I14/NºAsuntos!G14)-Datos!BE14)/Datos!BE14," - ")</f>
        <v>0.57665895036618087</v>
      </c>
      <c r="J14" s="1004">
        <f>IF(ISNUMBER((('Resol  Asuntos'!D14/NºAsuntos!G14)-Datos!BF14)/Datos!BF14),(('Resol  Asuntos'!D14/NºAsuntos!G14)-Datos!BF14)/Datos!BF14," - ")</f>
        <v>-0.22078833325582584</v>
      </c>
      <c r="K14" s="1004">
        <f>IF(ISNUMBER((((NºAsuntos!C14+NºAsuntos!E14)/NºAsuntos!G14)-Datos!BG14)/Datos!BG14),(((NºAsuntos!C14+NºAsuntos!E14)/NºAsuntos!G14)-Datos!BG14)/Datos!BG14," - ")</f>
        <v>0.37940722723152281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0.19786344635392475</v>
      </c>
      <c r="C16" s="473">
        <f>IF(ISNUMBER(
   IF(D_I="SI",(Datos!J16-Datos!T16)/Datos!T16,(Datos!J16+Datos!AD16-(Datos!T16+Datos!AL16))/(Datos!T16+Datos!AL16))
     ),IF(D_I="SI",(Datos!J16-Datos!T16)/Datos!T16,(Datos!J16+Datos!AD16-(Datos!T16+Datos!AL16))/(Datos!T16+Datos!AL16))," - ")</f>
        <v>3.5749751737835157E-2</v>
      </c>
      <c r="D16" s="473">
        <f>IF(ISNUMBER(
   IF(D_I="SI",(Datos!K16-Datos!U16)/Datos!U16,(Datos!K16+Datos!AE16-(Datos!U16+Datos!AM16))/(Datos!U16+Datos!AM16))
     ),IF(D_I="SI",(Datos!K16-Datos!U16)/Datos!U16,(Datos!K16+Datos!AE16-(Datos!U16+Datos!AM16))/(Datos!U16+Datos!AM16))," - ")</f>
        <v>-0.10660098522167488</v>
      </c>
      <c r="E16" s="473">
        <f>IF(ISNUMBER(
   IF(D_I="SI",(Datos!L16-Datos!V16)/Datos!V16,(Datos!L16+Datos!AF16-(Datos!V16+Datos!AN16))/(Datos!V16+Datos!AN16))
     ),IF(D_I="SI",(Datos!L16-Datos!V16)/Datos!V16,(Datos!L16+Datos!AF16-(Datos!V16+Datos!AN16))/(Datos!V16+Datos!AN16))," - ")</f>
        <v>0.44026034402603442</v>
      </c>
      <c r="F16" s="473">
        <f>IF(ISNUMBER((Datos!M16-Datos!W16)/Datos!W16),(Datos!M16-Datos!W16)/Datos!W16," - ")</f>
        <v>-0.1555891238670695</v>
      </c>
      <c r="G16" s="474">
        <f>IF(ISNUMBER((Datos!N16-Datos!X16)/Datos!X16),(Datos!N16-Datos!X16)/Datos!X16," - ")</f>
        <v>-0.1332312404287902</v>
      </c>
      <c r="H16" s="472">
        <f>IF(ISNUMBER(((NºAsuntos!G16/NºAsuntos!E16)-Datos!BD16)/Datos!BD16),((NºAsuntos!G16/NºAsuntos!E16)-Datos!BD16)/Datos!BD16," - ")</f>
        <v>-0.13743738458123358</v>
      </c>
      <c r="I16" s="473">
        <f>IF(ISNUMBER(((NºAsuntos!I16/NºAsuntos!G16)-Datos!BE16)/Datos!BE16),((NºAsuntos!I16/NºAsuntos!G16)-Datos!BE16)/Datos!BE16," - ")</f>
        <v>0.61211319936747344</v>
      </c>
      <c r="J16" s="478">
        <f>IF(ISNUMBER((('Resol  Asuntos'!D16/NºAsuntos!G16)-Datos!BF16)/Datos!BF16),(('Resol  Asuntos'!D16/NºAsuntos!G16)-Datos!BF16)/Datos!BF16," - ")</f>
        <v>-5.4833437058971791E-2</v>
      </c>
      <c r="K16" s="479">
        <f>IF(ISNUMBER((((NºAsuntos!C16+NºAsuntos!E16)/NºAsuntos!G16)-Datos!BG16)/Datos!BG16),(((NºAsuntos!C16+NºAsuntos!E16)/NºAsuntos!G16)-Datos!BG16)/Datos!BG16," - ")</f>
        <v>0.21368745733405109</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1.4489795918367347</v>
      </c>
      <c r="C18" s="473">
        <f>IF(ISNUMBER(
   IF(D_I="SI",(Datos!J18-Datos!T18)/Datos!T18,(Datos!J18+Datos!AD18-(Datos!T18+Datos!AL18))/(Datos!T18+Datos!AL18))
     ),IF(D_I="SI",(Datos!J18-Datos!T18)/Datos!T18,(Datos!J18+Datos!AD18-(Datos!T18+Datos!AL18))/(Datos!T18+Datos!AL18))," - ")</f>
        <v>-4.807692307692308E-2</v>
      </c>
      <c r="D18" s="473">
        <f>IF(ISNUMBER(
   IF(D_I="SI",(Datos!K18-Datos!U18)/Datos!U18,(Datos!K18+Datos!AE18-(Datos!U18+Datos!AM18))/(Datos!U18+Datos!AM18))
     ),IF(D_I="SI",(Datos!K18-Datos!U18)/Datos!U18,(Datos!K18+Datos!AE18-(Datos!U18+Datos!AM18))/(Datos!U18+Datos!AM18))," - ")</f>
        <v>-2.247191011235955E-2</v>
      </c>
      <c r="E18" s="473">
        <f>IF(ISNUMBER(
   IF(D_I="SI",(Datos!L18-Datos!V18)/Datos!V18,(Datos!L18+Datos!AF18-(Datos!V18+Datos!AN18))/(Datos!V18+Datos!AN18))
     ),IF(D_I="SI",(Datos!L18-Datos!V18)/Datos!V18,(Datos!L18+Datos!AF18-(Datos!V18+Datos!AN18))/(Datos!V18+Datos!AN18))," - ")</f>
        <v>0.93006993006993011</v>
      </c>
      <c r="F18" s="473">
        <f>IF(ISNUMBER((Datos!M18-Datos!W18)/Datos!W18),(Datos!M18-Datos!W18)/Datos!W18," - ")</f>
        <v>-2.6315789473684209E-2</v>
      </c>
      <c r="G18" s="474">
        <f>IF(ISNUMBER((Datos!N18-Datos!X18)/Datos!X18),(Datos!N18-Datos!X18)/Datos!X18," - ")</f>
        <v>0.1276595744680851</v>
      </c>
      <c r="H18" s="472">
        <f>IF(ISNUMBER(((NºAsuntos!G18/NºAsuntos!E18)-Datos!BD18)/Datos!BD18),((NºAsuntos!G18/NºAsuntos!E18)-Datos!BD18)/Datos!BD18," - ")</f>
        <v>2.6898195437521328E-2</v>
      </c>
      <c r="I18" s="473">
        <f>IF(ISNUMBER(((NºAsuntos!I18/NºAsuntos!G18)-Datos!BE18)/Datos!BE18),((NºAsuntos!I18/NºAsuntos!G18)-Datos!BE18)/Datos!BE18," - ")</f>
        <v>0.9744393537496987</v>
      </c>
      <c r="J18" s="478">
        <f>IF(ISNUMBER((('Resol  Asuntos'!D18/NºAsuntos!G18)-Datos!BF18)/Datos!BF18),(('Resol  Asuntos'!D18/NºAsuntos!G18)-Datos!BF18)/Datos!BF18," - ")</f>
        <v>-3.9322444041136216E-3</v>
      </c>
      <c r="K18" s="479">
        <f>IF(ISNUMBER((((NºAsuntos!C18+NºAsuntos!E18)/NºAsuntos!G18)-Datos!BG18)/Datos!BG18),(((NºAsuntos!C18+NºAsuntos!E18)/NºAsuntos!G18)-Datos!BG18)/Datos!BG18," - ")</f>
        <v>0.33986543313709006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0.25233229675699687</v>
      </c>
      <c r="C20" s="1002">
        <f>IF(ISNUMBER(
   IF(Criterios!B14="SI",(Datos!J20-Datos!T20)/Datos!T20,(Datos!J20+Datos!AD20-(Datos!T20+Datos!AL20))/(Datos!T20+Datos!AL20))
     ),IF(Criterios!B14="SI",(Datos!J20-Datos!T20)/Datos!T20,(Datos!J20+Datos!AD20-(Datos!T20+Datos!AL20))/(Datos!T20+Datos!AL20))," - ")</f>
        <v>3.0858425285206659E-2</v>
      </c>
      <c r="D20" s="1002">
        <f>IF(ISNUMBER(
   IF(Criterios!B14="SI",(Datos!K20-Datos!U20)/Datos!U20,(Datos!K20+Datos!AE20-(Datos!U20+Datos!AM20))/(Datos!U20+Datos!AM20))
     ),IF(Criterios!B14="SI",(Datos!K20-Datos!U20)/Datos!U20,(Datos!K20+Datos!AE20-(Datos!U20+Datos!AM20))/(Datos!U20+Datos!AM20))," - ")</f>
        <v>-0.10239610632721827</v>
      </c>
      <c r="E20" s="1002">
        <f>IF(ISNUMBER(
   IF(Criterios!B14="SI",(Datos!L20-Datos!V20)/Datos!V20,(Datos!L20+Datos!AF20-(Datos!V20+Datos!AN20))/(Datos!V20+Datos!AN20))
     ),IF(Criterios!B14="SI",(Datos!L20-Datos!V20)/Datos!V20,(Datos!L20+Datos!AF20-(Datos!V20+Datos!AN20))/(Datos!V20+Datos!AN20))," - ")</f>
        <v>0.47079337401918048</v>
      </c>
      <c r="F20" s="1003">
        <f>IF(ISNUMBER((Datos!M20-Datos!W20)/Datos!W20),(Datos!M20-Datos!W20)/Datos!W20," - ")</f>
        <v>-0.14857142857142858</v>
      </c>
      <c r="G20" s="1004">
        <f>IF(ISNUMBER((Datos!N20-Datos!X20)/Datos!X20),(Datos!N20-Datos!X20)/Datos!X20," - ")</f>
        <v>-0.12243100411039343</v>
      </c>
      <c r="H20" s="1004">
        <f>IF(ISNUMBER(((NºAsuntos!G20/NºAsuntos!E20)-Datos!BD20)/Datos!BD20),((NºAsuntos!G20/NºAsuntos!E20)-Datos!BD20)/Datos!BD20," - ")</f>
        <v>-0.12926559879020974</v>
      </c>
      <c r="I20" s="1004">
        <f>IF(ISNUMBER(((NºAsuntos!I20/NºAsuntos!G20)-Datos!BE20)/Datos!BE20),((NºAsuntos!I20/NºAsuntos!G20)-Datos!BE20)/Datos!BE20," - ")</f>
        <v>0.63857731053398581</v>
      </c>
      <c r="J20" s="1004">
        <f>IF(ISNUMBER((('Resol  Asuntos'!D20/NºAsuntos!G20)-Datos!BF20)/Datos!BF20),(('Resol  Asuntos'!D20/NºAsuntos!G20)-Datos!BF20)/Datos!BF20," - ")</f>
        <v>-5.1442872039326744E-2</v>
      </c>
      <c r="K20" s="1004">
        <f>IF(ISNUMBER((((NºAsuntos!C20+NºAsuntos!E20)/NºAsuntos!G20)-Datos!BG20)/Datos!BG20),(((NºAsuntos!C20+NºAsuntos!E20)/NºAsuntos!G20)-Datos!BG20)/Datos!BG20," - ")</f>
        <v>0.22155525807927606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-8.9799532030607736E-3</v>
      </c>
      <c r="C21" s="949">
        <f>IF(ISNUMBER(
   IF(J_V="SI",(Datos!J21-Datos!T21)/Datos!T21,(Datos!J21+Datos!Z21-(Datos!T21+Datos!AH21))/(Datos!T21+Datos!AH21))
     ),IF(J_V="SI",(Datos!J21-Datos!T21)/Datos!T21,(Datos!J21+Datos!Z21-(Datos!T21+Datos!AH21))/(Datos!T21+Datos!AH21))," - ")</f>
        <v>4.6355792179181197E-2</v>
      </c>
      <c r="D21" s="949">
        <f>IF(ISNUMBER(
   IF(J_V="SI",(Datos!K21-Datos!U21)/Datos!U21,(Datos!K21+Datos!AA21-(Datos!U21+Datos!AI21))/(Datos!U21+Datos!AI21))
     ),IF(J_V="SI",(Datos!K21-Datos!U21)/Datos!U21,(Datos!K21+Datos!AA21-(Datos!U21+Datos!AI21))/(Datos!U21+Datos!AI21))," - ")</f>
        <v>-0.20472041282463413</v>
      </c>
      <c r="E21" s="949">
        <f>IF(ISNUMBER(
   IF(J_V="SI",(Datos!L21-Datos!V21)/Datos!V21,(Datos!L21+Datos!AB21-(Datos!V21+Datos!AJ21))/(Datos!V21+Datos!AJ21))
     ),IF(J_V="SI",(Datos!L21-Datos!V21)/Datos!V21,(Datos!L21+Datos!AB21-(Datos!V21+Datos!AJ21))/(Datos!V21+Datos!AJ21))," - ")</f>
        <v>0.17472992015030531</v>
      </c>
      <c r="F21" s="950">
        <f>IF(ISNUMBER((Datos!M21-Datos!W21)/Datos!W21),(Datos!M21-Datos!W21)/Datos!W21," - ")</f>
        <v>-0.21795886075949367</v>
      </c>
      <c r="G21" s="951">
        <f>IF(ISNUMBER((Datos!N21-Datos!X21)/Datos!X21),(Datos!N21-Datos!X21)/Datos!X21," - ")</f>
        <v>-0.14794798175983787</v>
      </c>
      <c r="H21" s="952">
        <f>IF(ISNUMBER((Tasas!B21-Datos!BD21)/Datos!BD21),(Tasas!B21-Datos!BD21)/Datos!BD21," - ")</f>
        <v>-0.23995299388644303</v>
      </c>
      <c r="I21" s="953">
        <f>IF(ISNUMBER((Tasas!C21-Datos!BE21)/Datos!BE21),(Tasas!C21-Datos!BE21)/Datos!BE21," - ")</f>
        <v>0.47712821892317409</v>
      </c>
      <c r="J21" s="954">
        <f>IF(ISNUMBER((Tasas!D21-Datos!BF21)/Datos!BF21),(Tasas!D21-Datos!BF21)/Datos!BF21," - ")</f>
        <v>-0.22144747880004098</v>
      </c>
      <c r="K21" s="954">
        <f>IF(ISNUMBER((Tasas!E21-Datos!BG21)/Datos!BG21),(Tasas!E21-Datos!BG21)/Datos!BG21," - ")</f>
        <v>0.27451019557469925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yyNWPCy6o8MZ9AYIlXsA6i/tKCD9hcsqurl405UieOeNr+/2k8J5L3B7RR+tijC3tnohUOAPF/helcx0NqK0ig==" saltValue="w09IufkN/+RYomzDJUmCS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PONTEVEDRA</v>
      </c>
    </row>
    <row r="4" spans="1:7" ht="11.25" customHeight="1" thickBot="1">
      <c r="B4" s="403" t="str">
        <f>Criterios!A11 &amp;"  "&amp;Criterios!B11</f>
        <v>Resumenes por Partidos Judiciales  VIGO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0.79275777414075288</v>
      </c>
      <c r="C9" s="460">
        <f>IF(ISNUMBER(NºAsuntos!I9/NºAsuntos!G9),NºAsuntos!I9/NºAsuntos!G9," - ")</f>
        <v>3.2436129032258063</v>
      </c>
      <c r="D9" s="461">
        <f>IF(ISNUMBER('Resol  Asuntos'!D9/NºAsuntos!G9),'Resol  Asuntos'!D9/NºAsuntos!G9," - ")</f>
        <v>0.31690322580645164</v>
      </c>
      <c r="E9" s="462">
        <f>IF(ISNUMBER((NºAsuntos!C9+NºAsuntos!E9)/NºAsuntos!G9),(NºAsuntos!C9+NºAsuntos!E9)/NºAsuntos!G9," - ")</f>
        <v>4.2436129032258068</v>
      </c>
      <c r="G9" s="480"/>
    </row>
    <row r="10" spans="1:7">
      <c r="A10" s="414" t="str">
        <f>Datos!A10</f>
        <v>Jdos. Violencia contra la mujer</v>
      </c>
      <c r="B10" s="459">
        <f>IF(ISNUMBER(NºAsuntos!G10/NºAsuntos!E10),NºAsuntos!G10/NºAsuntos!E10," - ")</f>
        <v>0.5</v>
      </c>
      <c r="C10" s="460">
        <f>IF(ISNUMBER(NºAsuntos!I10/NºAsuntos!G10),NºAsuntos!I10/NºAsuntos!G10," - ")</f>
        <v>6.5454545454545459</v>
      </c>
      <c r="D10" s="461">
        <f>IF(ISNUMBER('Resol  Asuntos'!D10/NºAsuntos!G10),'Resol  Asuntos'!D10/NºAsuntos!G10," - ")</f>
        <v>0.18181818181818182</v>
      </c>
      <c r="E10" s="462">
        <f>IF(ISNUMBER((NºAsuntos!C10+NºAsuntos!E10)/NºAsuntos!G10),(NºAsuntos!C10+NºAsuntos!E10)/NºAsuntos!G10," - ")</f>
        <v>7.5454545454545459</v>
      </c>
      <c r="G10" s="480"/>
    </row>
    <row r="11" spans="1:7">
      <c r="A11" s="414" t="str">
        <f>Datos!A11</f>
        <v xml:space="preserve">Jdos. Familia                                   </v>
      </c>
      <c r="B11" s="459">
        <f>IF(ISNUMBER(NºAsuntos!G11/NºAsuntos!E11),NºAsuntos!G11/NºAsuntos!E11," - ")</f>
        <v>0.73694984646878203</v>
      </c>
      <c r="C11" s="460">
        <f>IF(ISNUMBER(NºAsuntos!I11/NºAsuntos!G11),NºAsuntos!I11/NºAsuntos!G11," - ")</f>
        <v>2.0722222222222224</v>
      </c>
      <c r="D11" s="461">
        <f>IF(ISNUMBER('Resol  Asuntos'!D11/NºAsuntos!G11),'Resol  Asuntos'!D11/NºAsuntos!G11," - ")</f>
        <v>0.20972222222222223</v>
      </c>
      <c r="E11" s="462">
        <f>IF(ISNUMBER((NºAsuntos!C11+NºAsuntos!E11)/NºAsuntos!G11),(NºAsuntos!C11+NºAsuntos!E11)/NºAsuntos!G11," - ")</f>
        <v>3.0722222222222224</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0.78240190249702735</v>
      </c>
      <c r="C14" s="1006">
        <f>IF(ISNUMBER(NºAsuntos!I14/NºAsuntos!G14),NºAsuntos!I14/NºAsuntos!G14," - ")</f>
        <v>3.06838905775076</v>
      </c>
      <c r="D14" s="1007">
        <f>IF(ISNUMBER('Resol  Asuntos'!D14/NºAsuntos!G14),'Resol  Asuntos'!D14/NºAsuntos!G14," - ")</f>
        <v>0.29982631350412503</v>
      </c>
      <c r="E14" s="1008">
        <f>IF(ISNUMBER((NºAsuntos!C14+NºAsuntos!E14)/NºAsuntos!G14),(NºAsuntos!C14+NºAsuntos!E14)/NºAsuntos!G14," - ")</f>
        <v>4.0683890577507595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0.86941514860977953</v>
      </c>
      <c r="C16" s="460">
        <f>IF(ISNUMBER(NºAsuntos!I16/NºAsuntos!G16),NºAsuntos!I16/NºAsuntos!G16," - ")</f>
        <v>0.68328187031318921</v>
      </c>
      <c r="D16" s="461">
        <f>IF(ISNUMBER('Resol  Asuntos'!D16/NºAsuntos!G16),'Resol  Asuntos'!D16/NºAsuntos!G16," - ")</f>
        <v>0.12329069254521394</v>
      </c>
      <c r="E16" s="462">
        <f>IF(ISNUMBER((NºAsuntos!C16+NºAsuntos!E16)/NºAsuntos!G16),(NºAsuntos!C16+NºAsuntos!E16)/NºAsuntos!G16," - ")</f>
        <v>1.7190119100132333</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0.87878787878787878</v>
      </c>
      <c r="C18" s="460">
        <f>IF(ISNUMBER(NºAsuntos!I18/NºAsuntos!G18),NºAsuntos!I18/NºAsuntos!G18," - ")</f>
        <v>1.0574712643678161</v>
      </c>
      <c r="D18" s="461">
        <f>IF(ISNUMBER('Resol  Asuntos'!D18/NºAsuntos!G18),'Resol  Asuntos'!D18/NºAsuntos!G18," - ")</f>
        <v>0.1417624521072797</v>
      </c>
      <c r="E18" s="462">
        <f>IF(ISNUMBER((NºAsuntos!C18+NºAsuntos!E18)/NºAsuntos!G18),(NºAsuntos!C18+NºAsuntos!E18)/NºAsuntos!G18," - ")</f>
        <v>2.0574712643678161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0.86992017416545719</v>
      </c>
      <c r="C20" s="1006">
        <f>IF(ISNUMBER(NºAsuntos!I20/NºAsuntos!G20),NºAsuntos!I20/NºAsuntos!G20," - ")</f>
        <v>0.70364963503649636</v>
      </c>
      <c r="D20" s="1009">
        <f>IF(ISNUMBER('Resol  Asuntos'!D20/NºAsuntos!G20),'Resol  Asuntos'!D20/NºAsuntos!G20," - ")</f>
        <v>0.12429614181438998</v>
      </c>
      <c r="E20" s="1008">
        <f>IF(ISNUMBER((NºAsuntos!C20+NºAsuntos!E20)/NºAsuntos!G20),(NºAsuntos!C20+NºAsuntos!E20)/NºAsuntos!G20," - ")</f>
        <v>1.7374348279457767</v>
      </c>
      <c r="G20" s="480"/>
    </row>
    <row r="21" spans="1:7" ht="15.75" customHeight="1" thickTop="1" thickBot="1">
      <c r="A21" s="940" t="str">
        <f>Datos!A21</f>
        <v>TOTAL JURISDICCIONES</v>
      </c>
      <c r="B21" s="955">
        <f>IF(ISNUMBER(NºAsuntos!G21/NºAsuntos!E21),NºAsuntos!G21/NºAsuntos!E21," - ")</f>
        <v>0.82472146679533287</v>
      </c>
      <c r="C21" s="956">
        <f>IF(ISNUMBER(NºAsuntos!I21/NºAsuntos!G21),NºAsuntos!I21/NºAsuntos!G21," - ")</f>
        <v>1.8622486969471332</v>
      </c>
      <c r="D21" s="957">
        <f>IF(ISNUMBER('Resol  Asuntos'!D21/NºAsuntos!G21),'Resol  Asuntos'!D21/NºAsuntos!G21," - ")</f>
        <v>0.21029677693862356</v>
      </c>
      <c r="E21" s="958">
        <f>IF(ISNUMBER((NºAsuntos!C21+NºAsuntos!E21)/NºAsuntos!G21),(NºAsuntos!C21+NºAsuntos!E21)/NºAsuntos!G21," - ")</f>
        <v>2.8794809062865654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adimm47SnWRrzdUDd51D6eVYU2ITDgJ011u9PK/UUTf8eRiOsnl3RboFmF/RF4PFclXMDEXx8JG9yINxoWXWQ==" saltValue="EKK1L3CucREP+RDtJxbou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PONTEVEDRA</v>
      </c>
      <c r="N2" s="339" t="str">
        <f>Criterios!A11 &amp;"  "&amp;Criterios!B11</f>
        <v>Resumenes por Partidos Judiciales  VIGO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13</v>
      </c>
      <c r="B9" s="182" t="s">
        <v>273</v>
      </c>
      <c r="C9" s="165" t="str">
        <f>Datos!A9</f>
        <v xml:space="preserve">Jdos. 1ª Instancia   </v>
      </c>
      <c r="D9" s="165"/>
      <c r="E9" s="1205">
        <f>IF(ISNUMBER(Datos!AQ9),Datos!AQ9," - ")</f>
        <v>13</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766</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882</v>
      </c>
      <c r="Y9" s="344">
        <f>SUM(W9:X9)</f>
        <v>882</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14020</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1228</v>
      </c>
      <c r="AJ9" s="234" t="str">
        <f>IF(ISNUMBER(Datos!BW9),Datos!BW9," - ")</f>
        <v xml:space="preserve"> - </v>
      </c>
      <c r="AK9" s="233" t="str">
        <f>IF(ISNUMBER(Datos!BX9),Datos!BX9," - ")</f>
        <v xml:space="preserve"> - </v>
      </c>
      <c r="AL9" s="248">
        <f>IF(ISNUMBER(NºAsuntos!G9/NºAsuntos!E9),NºAsuntos!G9/NºAsuntos!E9," - ")</f>
        <v>0.79275777414075288</v>
      </c>
      <c r="AM9" s="265">
        <f>IF(ISNUMBER(((NºAsuntos!I9/NºAsuntos!G9)*11)/factor_trimestre),((NºAsuntos!I9/NºAsuntos!G9)*11)/factor_trimestre," - ")</f>
        <v>9.7308387096774194</v>
      </c>
      <c r="AN9" s="249">
        <f>IF(ISNUMBER('Resol  Asuntos'!D9/NºAsuntos!G9),'Resol  Asuntos'!D9/NºAsuntos!G9," - ")</f>
        <v>0.31690322580645164</v>
      </c>
      <c r="AO9" s="250">
        <f>IF(ISNUMBER((NºAsuntos!C9+NºAsuntos!E9)/NºAsuntos!G9),(NºAsuntos!C9+NºAsuntos!E9)/NºAsuntos!G9," - ")</f>
        <v>4.2436129032258068</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61</v>
      </c>
      <c r="G10" s="343">
        <f>IF(ISNUMBER(Datos!I10),Datos!I10," - ")</f>
        <v>61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11</v>
      </c>
      <c r="X10" s="231">
        <f>IF(ISNUMBER(Datos!Q10),Datos!Q10," - ")</f>
        <v>0</v>
      </c>
      <c r="Y10" s="344">
        <f t="shared" ref="Y10:Y13" si="0">SUM(W10:X10)</f>
        <v>11</v>
      </c>
      <c r="Z10" s="345" t="str">
        <f>IF(ISNUMBER(Datos!CC10),Datos!CC10," - ")</f>
        <v xml:space="preserve"> - </v>
      </c>
      <c r="AA10" s="342">
        <f>IF(ISNUMBER(Datos!L10),Datos!L10,"-")</f>
        <v>72</v>
      </c>
      <c r="AB10" s="344">
        <f>IF(ISNUMBER(Datos!R10),Datos!R10," - ")</f>
        <v>100</v>
      </c>
      <c r="AC10" s="344">
        <f t="shared" ref="AC10:AC13" si="1">IF(ISNUMBER(AA10+AB10),AA10+AB10," - ")</f>
        <v>172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19.636363636363637</v>
      </c>
      <c r="AN10" s="249">
        <f>IF(ISNUMBER('Resol  Asuntos'!D10/NºAsuntos!G10),'Resol  Asuntos'!D10/NºAsuntos!G10," - ")</f>
        <v>0.18181818181818182</v>
      </c>
      <c r="AO10" s="250">
        <f>IF(ISNUMBER((NºAsuntos!C10+NºAsuntos!E10)/NºAsuntos!G10),(NºAsuntos!C10+NºAsuntos!E10)/NºAsuntos!G10," - ")</f>
        <v>7.5454545454545459</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3</v>
      </c>
      <c r="B11" s="280" t="s">
        <v>273</v>
      </c>
      <c r="C11" s="7" t="str">
        <f>Datos!A11</f>
        <v xml:space="preserve">Jdos. Familia                                   </v>
      </c>
      <c r="D11" s="7"/>
      <c r="E11" s="1205">
        <f>IF(ISNUMBER(Datos!AQ11),Datos!AQ11," - ")</f>
        <v>3</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95</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307</v>
      </c>
      <c r="Y11" s="344">
        <f t="shared" si="0"/>
        <v>307</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804</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151</v>
      </c>
      <c r="AJ11" s="236" t="str">
        <f>IF(ISNUMBER(Datos!BW11),Datos!BW11," - ")</f>
        <v xml:space="preserve"> - </v>
      </c>
      <c r="AK11" s="237" t="str">
        <f>IF(ISNUMBER(Datos!BX11),Datos!BX11," - ")</f>
        <v xml:space="preserve"> - </v>
      </c>
      <c r="AL11" s="248">
        <f>IF(ISNUMBER(NºAsuntos!G11/NºAsuntos!E11),NºAsuntos!G11/NºAsuntos!E11," - ")</f>
        <v>0.73694984646878203</v>
      </c>
      <c r="AM11" s="265">
        <f>IF(ISNUMBER(((NºAsuntos!I11/NºAsuntos!G11)*11)/factor_trimestre),((NºAsuntos!I11/NºAsuntos!G11)*11)/factor_trimestre," - ")</f>
        <v>6.2166666666666677</v>
      </c>
      <c r="AN11" s="249">
        <f>IF(ISNUMBER('Resol  Asuntos'!D11/NºAsuntos!G11),'Resol  Asuntos'!D11/NºAsuntos!G11," - ")</f>
        <v>0.20972222222222223</v>
      </c>
      <c r="AO11" s="250">
        <f>IF(ISNUMBER((NºAsuntos!C11+NºAsuntos!E11)/NºAsuntos!G11),(NºAsuntos!C11+NºAsuntos!E11)/NºAsuntos!G11," - ")</f>
        <v>3.0722222222222224</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17</v>
      </c>
      <c r="F14" s="1012">
        <f t="shared" si="5"/>
        <v>61</v>
      </c>
      <c r="G14" s="1013">
        <f t="shared" si="5"/>
        <v>61</v>
      </c>
      <c r="H14" s="1012">
        <f t="shared" si="5"/>
        <v>0</v>
      </c>
      <c r="I14" s="1014">
        <f t="shared" si="5"/>
        <v>0</v>
      </c>
      <c r="J14" s="1014">
        <f t="shared" si="5"/>
        <v>0</v>
      </c>
      <c r="K14" s="1014">
        <f t="shared" si="5"/>
        <v>0</v>
      </c>
      <c r="L14" s="1014">
        <f t="shared" si="5"/>
        <v>864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11</v>
      </c>
      <c r="X14" s="1014">
        <f t="shared" si="6"/>
        <v>1189</v>
      </c>
      <c r="Y14" s="1015">
        <f t="shared" si="6"/>
        <v>1200</v>
      </c>
      <c r="Z14" s="1015">
        <f t="shared" si="6"/>
        <v>0</v>
      </c>
      <c r="AA14" s="1015">
        <f t="shared" si="6"/>
        <v>72</v>
      </c>
      <c r="AB14" s="1015">
        <f t="shared" si="6"/>
        <v>14924</v>
      </c>
      <c r="AC14" s="1015">
        <f t="shared" si="6"/>
        <v>172</v>
      </c>
      <c r="AD14" s="1015">
        <f t="shared" si="6"/>
        <v>0</v>
      </c>
      <c r="AE14" s="1019">
        <f t="shared" si="6"/>
        <v>0</v>
      </c>
      <c r="AF14" s="1012">
        <f t="shared" si="6"/>
        <v>0</v>
      </c>
      <c r="AG14" s="1020">
        <f t="shared" si="6"/>
        <v>0</v>
      </c>
      <c r="AH14" s="1017">
        <f t="shared" si="6"/>
        <v>0</v>
      </c>
      <c r="AI14" s="1012">
        <f t="shared" si="6"/>
        <v>1381</v>
      </c>
      <c r="AJ14" s="1014">
        <f t="shared" si="6"/>
        <v>0</v>
      </c>
      <c r="AK14" s="1017">
        <f>SUBTOTAL(9,AK9:AK13)</f>
        <v>0</v>
      </c>
      <c r="AL14" s="1021">
        <f>IF(ISNUMBER(NºAsuntos!G14/NºAsuntos!E14),NºAsuntos!G14/NºAsuntos!E14," - ")</f>
        <v>0.78240190249702735</v>
      </c>
      <c r="AM14" s="1021">
        <f>IF(ISNUMBER(((NºAsuntos!I14/NºAsuntos!G14)*11)/factor_trimestre),((NºAsuntos!I14/NºAsuntos!G14)*11)/factor_trimestre," - ")</f>
        <v>9.2051671732522813</v>
      </c>
      <c r="AN14" s="1022">
        <f>IF(ISNUMBER('Resol  Asuntos'!D14/NºAsuntos!G14),'Resol  Asuntos'!D14/NºAsuntos!G14," - ")</f>
        <v>0.29982631350412503</v>
      </c>
      <c r="AO14" s="1023">
        <f>IF(ISNUMBER((NºAsuntos!C14+NºAsuntos!E14)/NºAsuntos!G14),(NºAsuntos!C14+NºAsuntos!E14)/NºAsuntos!G14," - ")</f>
        <v>4.0683890577507595</v>
      </c>
      <c r="AP14" s="1024" t="str">
        <f t="shared" si="2"/>
        <v xml:space="preserve"> - </v>
      </c>
      <c r="AQ14" s="1024">
        <f>IF(ISNUMBER((H14-W14+K14)/(F14)),(H14-W14+K14)/(F14)," - ")</f>
        <v>-0.18032786885245902</v>
      </c>
      <c r="AR14" s="1025">
        <f>IF(ISNUMBER((Datos!P14-Datos!Q14)/(Datos!R14-Datos!P14+Datos!Q14)),(Datos!P14-Datos!Q14)/(Datos!R14-Datos!P14+Datos!Q14)," - ")</f>
        <v>-2.1312872975277068E-2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8</v>
      </c>
      <c r="B16" s="280" t="s">
        <v>437</v>
      </c>
      <c r="C16" s="165" t="str">
        <f>Datos!A16</f>
        <v xml:space="preserve">Jdos. Instrucción                               </v>
      </c>
      <c r="D16" s="165"/>
      <c r="E16" s="1205">
        <f>IF(ISNUMBER(Datos!AQ16),Datos!AQ16," - ")</f>
        <v>8</v>
      </c>
      <c r="F16" s="230">
        <f>IF(ISNUMBER(AA16+W16-Datos!J16-K16),AA16+W16-Datos!J16-K16," - ")</f>
        <v>2417</v>
      </c>
      <c r="G16" s="343">
        <f>IF(ISNUMBER(IF(D_I="SI",Datos!I16,Datos!I16+Datos!AC16)),IF(D_I="SI",Datos!I16,Datos!I16+Datos!AC16)," - ")</f>
        <v>2579</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188</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4534</v>
      </c>
      <c r="X16" s="231">
        <f>IF(ISNUMBER(Datos!Q16),Datos!Q16," - ")</f>
        <v>136</v>
      </c>
      <c r="Y16" s="344">
        <f>SUM(W16)</f>
        <v>4534</v>
      </c>
      <c r="Z16" s="345" t="str">
        <f>IF(ISNUMBER(Datos!CC16),Datos!CC16," - ")</f>
        <v xml:space="preserve"> - </v>
      </c>
      <c r="AA16" s="342">
        <f>IF(ISNUMBER(IF(D_I="SI",Datos!L16,Datos!L16+Datos!AF16)),IF(D_I="SI",Datos!L16,Datos!L16+Datos!AF16)," - ")</f>
        <v>3098</v>
      </c>
      <c r="AB16" s="344">
        <f>IF(ISNUMBER(Datos!R16),Datos!R16," - ")</f>
        <v>631</v>
      </c>
      <c r="AC16" s="344">
        <f t="shared" ref="AC16:AC19" si="8">IF(ISNUMBER(AA16+AB16),AA16+AB16," - ")</f>
        <v>3729</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559</v>
      </c>
      <c r="AJ16" s="236" t="str">
        <f>IF(ISNUMBER(Datos!BW16),Datos!BW16," - ")</f>
        <v xml:space="preserve"> - </v>
      </c>
      <c r="AK16" s="237" t="str">
        <f>IF(ISNUMBER(Datos!BX16),Datos!BX16," - ")</f>
        <v xml:space="preserve"> - </v>
      </c>
      <c r="AL16" s="248">
        <f>IF(ISNUMBER(NºAsuntos!G16/NºAsuntos!E16),NºAsuntos!G16/NºAsuntos!E16," - ")</f>
        <v>0.86941514860977953</v>
      </c>
      <c r="AM16" s="265">
        <f>IF(ISNUMBER(((NºAsuntos!I16/NºAsuntos!G16)*11)/factor_trimestre),((NºAsuntos!I16/NºAsuntos!G16)*11)/factor_trimestre," - ")</f>
        <v>2.0498456109395677</v>
      </c>
      <c r="AN16" s="249">
        <f>IF(ISNUMBER('Resol  Asuntos'!D16/NºAsuntos!G16),'Resol  Asuntos'!D16/NºAsuntos!G16," - ")</f>
        <v>0.12329069254521394</v>
      </c>
      <c r="AO16" s="250">
        <f>IF(ISNUMBER((NºAsuntos!C16+NºAsuntos!E16)/NºAsuntos!G16),(NºAsuntos!C16+NºAsuntos!E16)/NºAsuntos!G16," - ")</f>
        <v>1.7190119100132333</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240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8</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261</v>
      </c>
      <c r="X18" s="231">
        <f>IF(ISNUMBER(Datos!Q18),Datos!Q18," - ")</f>
        <v>2</v>
      </c>
      <c r="Y18" s="344">
        <f t="shared" si="9"/>
        <v>263</v>
      </c>
      <c r="Z18" s="345" t="str">
        <f>IF(ISNUMBER(Datos!CC18),Datos!CC18," - ")</f>
        <v xml:space="preserve"> - </v>
      </c>
      <c r="AA18" s="342">
        <f>IF(ISNUMBER(Datos!L18),Datos!L18,"-")</f>
        <v>276</v>
      </c>
      <c r="AB18" s="344">
        <f>IF(ISNUMBER(Datos!R18),Datos!R18," - ")</f>
        <v>8</v>
      </c>
      <c r="AC18" s="344">
        <f t="shared" si="8"/>
        <v>284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37</v>
      </c>
      <c r="AJ18" s="236" t="str">
        <f>IF(ISNUMBER(Datos!BW18),Datos!BW18," - ")</f>
        <v xml:space="preserve"> - </v>
      </c>
      <c r="AK18" s="237" t="str">
        <f>IF(ISNUMBER(Datos!BX18),Datos!BX18," - ")</f>
        <v xml:space="preserve"> - </v>
      </c>
      <c r="AL18" s="248">
        <f>IF(ISNUMBER(NºAsuntos!G18/NºAsuntos!E18),NºAsuntos!G18/NºAsuntos!E18," - ")</f>
        <v>0.87878787878787878</v>
      </c>
      <c r="AM18" s="265">
        <f>IF(ISNUMBER(((NºAsuntos!I18/NºAsuntos!G18)*11)/factor_trimestre),((NºAsuntos!I18/NºAsuntos!G18)*11)/factor_trimestre," - ")</f>
        <v>3.1724137931034484</v>
      </c>
      <c r="AN18" s="249">
        <f>IF(ISNUMBER('Resol  Asuntos'!D18/NºAsuntos!G18),'Resol  Asuntos'!D18/NºAsuntos!G18," - ")</f>
        <v>0.1417624521072797</v>
      </c>
      <c r="AO18" s="250">
        <f>IF(ISNUMBER((NºAsuntos!C18+NºAsuntos!E18)/NºAsuntos!G18),(NºAsuntos!C18+NºAsuntos!E18)/NºAsuntos!G18," - ")</f>
        <v>2.0574712643678161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9</v>
      </c>
      <c r="F20" s="1012">
        <f>SUBTOTAL(9,F15:F19)</f>
        <v>2417</v>
      </c>
      <c r="G20" s="1013">
        <f>SUBTOTAL(9,G16:G19)</f>
        <v>2819</v>
      </c>
      <c r="H20" s="1012">
        <f t="shared" ref="H20:O20" si="12">SUBTOTAL(9,H15:H19)</f>
        <v>0</v>
      </c>
      <c r="I20" s="1014">
        <f t="shared" si="12"/>
        <v>0</v>
      </c>
      <c r="J20" s="1014">
        <f t="shared" si="12"/>
        <v>0</v>
      </c>
      <c r="K20" s="1014">
        <f t="shared" si="12"/>
        <v>0</v>
      </c>
      <c r="L20" s="1014">
        <f t="shared" si="12"/>
        <v>196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4795</v>
      </c>
      <c r="X20" s="1014">
        <f t="shared" si="13"/>
        <v>138</v>
      </c>
      <c r="Y20" s="1015">
        <f t="shared" si="13"/>
        <v>4797</v>
      </c>
      <c r="Z20" s="1015">
        <f t="shared" si="13"/>
        <v>0</v>
      </c>
      <c r="AA20" s="1015">
        <f t="shared" si="13"/>
        <v>3374</v>
      </c>
      <c r="AB20" s="1015">
        <f t="shared" si="13"/>
        <v>639</v>
      </c>
      <c r="AC20" s="1015">
        <f t="shared" si="13"/>
        <v>4013</v>
      </c>
      <c r="AD20" s="1015">
        <f t="shared" si="13"/>
        <v>0</v>
      </c>
      <c r="AE20" s="1019">
        <f t="shared" si="13"/>
        <v>0</v>
      </c>
      <c r="AF20" s="1012">
        <f t="shared" si="13"/>
        <v>0</v>
      </c>
      <c r="AG20" s="1020">
        <f t="shared" si="13"/>
        <v>0</v>
      </c>
      <c r="AH20" s="1017">
        <f t="shared" si="13"/>
        <v>0</v>
      </c>
      <c r="AI20" s="1012">
        <f t="shared" si="13"/>
        <v>596</v>
      </c>
      <c r="AJ20" s="1014">
        <f t="shared" si="13"/>
        <v>0</v>
      </c>
      <c r="AK20" s="1017">
        <f t="shared" si="13"/>
        <v>0</v>
      </c>
      <c r="AL20" s="1021">
        <f>IF(ISNUMBER(NºAsuntos!G20/NºAsuntos!E20),NºAsuntos!G20/NºAsuntos!E20," - ")</f>
        <v>0.86992017416545719</v>
      </c>
      <c r="AM20" s="1021">
        <f>IF(ISNUMBER(((NºAsuntos!I20/NºAsuntos!G20)*11)/factor_trimestre),((NºAsuntos!I20/NºAsuntos!G20)*11)/factor_trimestre," - ")</f>
        <v>2.1109489051094892</v>
      </c>
      <c r="AN20" s="1022">
        <f>IF(ISNUMBER('Resol  Asuntos'!D20/NºAsuntos!G20),'Resol  Asuntos'!D20/NºAsuntos!G20," - ")</f>
        <v>0.12429614181438998</v>
      </c>
      <c r="AO20" s="1023">
        <f>IF(ISNUMBER((NºAsuntos!C20+NºAsuntos!E20)/NºAsuntos!G20),(NºAsuntos!C20+NºAsuntos!E20)/NºAsuntos!G20," - ")</f>
        <v>1.7374348279457767</v>
      </c>
      <c r="AP20" s="1024" t="str">
        <f t="shared" si="2"/>
        <v xml:space="preserve"> - </v>
      </c>
      <c r="AQ20" s="1024">
        <f>IF(ISNUMBER((H20-W20+K20)/(F20)),(H20-W20+K20)/(F20)," - ")</f>
        <v>-1.983864294580058</v>
      </c>
      <c r="AR20" s="1025">
        <f>IF(ISNUMBER((Datos!P20-Datos!Q20)/(Datos!R20-Datos!P20+Datos!Q20)),(Datos!P20-Datos!Q20)/(Datos!R20-Datos!P20+Datos!Q20)," - ")</f>
        <v>9.9827882960413075E-2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26</v>
      </c>
      <c r="F21" s="967">
        <f t="shared" si="15"/>
        <v>2478</v>
      </c>
      <c r="G21" s="968">
        <f t="shared" si="15"/>
        <v>2880</v>
      </c>
      <c r="H21" s="967">
        <f t="shared" si="15"/>
        <v>0</v>
      </c>
      <c r="I21" s="969">
        <f t="shared" si="15"/>
        <v>0</v>
      </c>
      <c r="J21" s="969">
        <f t="shared" si="15"/>
        <v>0</v>
      </c>
      <c r="K21" s="1028">
        <f t="shared" si="15"/>
        <v>0</v>
      </c>
      <c r="L21" s="969">
        <f t="shared" si="15"/>
        <v>1060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4806</v>
      </c>
      <c r="X21" s="968">
        <f t="shared" si="16"/>
        <v>1327</v>
      </c>
      <c r="Y21" s="975">
        <f t="shared" si="16"/>
        <v>5997</v>
      </c>
      <c r="Z21" s="975">
        <f t="shared" si="16"/>
        <v>0</v>
      </c>
      <c r="AA21" s="975">
        <f t="shared" si="16"/>
        <v>3446</v>
      </c>
      <c r="AB21" s="975">
        <f t="shared" si="16"/>
        <v>15563</v>
      </c>
      <c r="AC21" s="975">
        <f t="shared" si="16"/>
        <v>4185</v>
      </c>
      <c r="AD21" s="975">
        <f t="shared" si="16"/>
        <v>0</v>
      </c>
      <c r="AE21" s="977">
        <f t="shared" si="16"/>
        <v>0</v>
      </c>
      <c r="AF21" s="978">
        <f t="shared" si="16"/>
        <v>0</v>
      </c>
      <c r="AG21" s="979">
        <f t="shared" si="16"/>
        <v>0</v>
      </c>
      <c r="AH21" s="977">
        <f t="shared" si="16"/>
        <v>0</v>
      </c>
      <c r="AI21" s="967">
        <f t="shared" si="16"/>
        <v>1977</v>
      </c>
      <c r="AJ21" s="967">
        <f t="shared" si="16"/>
        <v>0</v>
      </c>
      <c r="AK21" s="977">
        <f t="shared" si="16"/>
        <v>0</v>
      </c>
      <c r="AL21" s="1031">
        <f>IF(ISNUMBER(NºAsuntos!G21/NºAsuntos!E21),NºAsuntos!G21/NºAsuntos!E21," - ")</f>
        <v>0.82472146679533287</v>
      </c>
      <c r="AM21" s="1032">
        <f>IF(ISNUMBER(((NºAsuntos!I21/NºAsuntos!G21)*11)/factor_trimestre),((NºAsuntos!I21/NºAsuntos!G21)*11)/factor_trimestre," - ")</f>
        <v>5.5867460908413999</v>
      </c>
      <c r="AN21" s="1032">
        <f>IF(ISNUMBER('Resol  Asuntos'!D21/NºAsuntos!G21),'Resol  Asuntos'!D21/NºAsuntos!G21," - ")</f>
        <v>0.21029677693862356</v>
      </c>
      <c r="AO21" s="1033">
        <f>IF(ISNUMBER((NºAsuntos!C21+NºAsuntos!E21)/NºAsuntos!G21),(NºAsuntos!C21+NºAsuntos!E21)/NºAsuntos!G21," - ")</f>
        <v>2.8794809062865654</v>
      </c>
      <c r="AP21" s="1034" t="str">
        <f t="shared" si="2"/>
        <v xml:space="preserve"> - </v>
      </c>
      <c r="AQ21" s="1035">
        <f>IF(OR(ISNUMBER(FIND("01",Criterios!A8,1)),ISNUMBER(FIND("02",Criterios!A8,1)),ISNUMBER(FIND("03",Criterios!A8,1)),ISNUMBER(FIND("04",Criterios!A8,1))),(I21-W21+K21)/(F21-K21),(H21-W21+K21)/(F21-K21))</f>
        <v>-1.9394673123486683</v>
      </c>
      <c r="AR21" s="1036">
        <f>IF(ISNUMBER((Datos!P21-Datos!Q21)/(Datos!R21-Datos!P21+Datos!Q21)),(Datos!P21-Datos!Q21)/(Datos!R21-Datos!P21+Datos!Q21)," - ")</f>
        <v>-1.6866708780795957E-2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1152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6.0677987621691791</v>
      </c>
      <c r="F23" s="257">
        <f>IF(ISNUMBER(STDEV(F8:F20)),STDEV(F8:F20),"-")</f>
        <v>1360.2372342107583</v>
      </c>
      <c r="G23" s="258">
        <f>IF(ISNUMBER(STDEV(G8:G20)),STDEV(G8:G20),"-")</f>
        <v>1416.6442743328334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2506.9620659276038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558.80390972487794</v>
      </c>
      <c r="AJ23" s="257">
        <f t="shared" si="20"/>
        <v>0</v>
      </c>
      <c r="AK23" s="259">
        <f t="shared" si="20"/>
        <v>0</v>
      </c>
      <c r="AL23" s="254">
        <f t="shared" si="20"/>
        <v>0.13300063457932343</v>
      </c>
      <c r="AM23" s="255">
        <f t="shared" si="20"/>
        <v>6.2486821882539827</v>
      </c>
      <c r="AN23" s="255">
        <f t="shared" si="20"/>
        <v>8.0687619294248086E-2</v>
      </c>
      <c r="AO23" s="256">
        <f t="shared" si="20"/>
        <v>2.0729894603894827</v>
      </c>
      <c r="AP23" s="296" t="str">
        <f t="shared" si="20"/>
        <v>-</v>
      </c>
      <c r="AQ23" s="297">
        <f t="shared" si="20"/>
        <v>1.2752928367489331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2a2vfTh+s2tPfRTfx9eNpqqwuTRbayg3nkgMGOAnyoQ2+grbVKbRXuW5TQgpdcMJtwC7PPvVnMyCKkZYpGlZJw==" saltValue="WoEBitNAviaT261OJY9Z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PONTEVEDRA</v>
      </c>
      <c r="E3" s="268"/>
    </row>
    <row r="4" spans="2:20" ht="17.25" customHeight="1" thickBot="1">
      <c r="D4" s="267" t="str">
        <f>Criterios!A11 &amp;"  "&amp;Criterios!B11</f>
        <v>Resumenes por Partidos Judiciales  VIGO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-0.19157340355497038</v>
      </c>
      <c r="I9" s="360">
        <f>IF(ISNUMBER((Tasas!C9-Datos!BE9)/Datos!BE9),(Tasas!C9-Datos!BE9)/Datos!BE9," - ")</f>
        <v>0.56986557934002202</v>
      </c>
      <c r="J9" s="359">
        <f>IF(ISNUMBER((Tasas!D9-Datos!BF9)/Datos!BF9),(Tasas!D9-Datos!BF9)/Datos!BF9," - ")</f>
        <v>-0.10158018747987037</v>
      </c>
      <c r="K9" s="361">
        <f>IF(ISNUMBER((Tasas!E9-Datos!BG9)/Datos!BG9),(Tasas!E9-Datos!BG9)/Datos!BG9," - ")</f>
        <v>0.38167118967430458</v>
      </c>
      <c r="M9" t="e">
        <f>IF(Monitorios="SI",Datos!CE9,0)</f>
        <v>#REF!</v>
      </c>
      <c r="N9" t="e">
        <f>IF(Monitorios="SI",Datos!CF9,0)</f>
        <v>#REF!</v>
      </c>
      <c r="O9" t="e">
        <f>IF(Monitorios="SI",Datos!CG9,0)</f>
        <v>#REF!</v>
      </c>
      <c r="P9" t="e">
        <f>IF(Monitorios="SI",Datos!CH9,0)</f>
        <v>#REF!</v>
      </c>
      <c r="Q9">
        <f>IF(J_V="SI",0,Datos!AG9)</f>
        <v>424</v>
      </c>
      <c r="R9">
        <f>IF(J_V="SI",0,Datos!AH9)</f>
        <v>288</v>
      </c>
      <c r="S9">
        <f>IF(J_V="SI",0,Datos!AI9)</f>
        <v>341</v>
      </c>
      <c r="T9">
        <f>IF(J_V="SI",0,Datos!AJ9)</f>
        <v>343</v>
      </c>
    </row>
    <row r="10" spans="2:20" ht="14.25">
      <c r="B10" s="280" t="s">
        <v>273</v>
      </c>
      <c r="C10" s="7" t="str">
        <f>Datos!A10</f>
        <v>Jdos. Violencia contra la mujer</v>
      </c>
      <c r="D10" s="362">
        <f>IF(ISNUMBER((Datos!I10-Datos!S10)/Datos!S10),(Datos!I10-Datos!S10)/Datos!S10," - ")</f>
        <v>0.24489795918367346</v>
      </c>
      <c r="E10" s="358">
        <f>IF(ISNUMBER((Datos!J10-Datos!T10)/Datos!T10),(Datos!J10-Datos!T10)/Datos!T10," - ")</f>
        <v>-0.2413793103448276</v>
      </c>
      <c r="F10" s="358">
        <f>IF(ISNUMBER((Datos!K10-Datos!U10)/Datos!U10),(Datos!K10-Datos!U10)/Datos!U10," - ")</f>
        <v>-0.65625</v>
      </c>
      <c r="G10" s="359">
        <f>IF(ISNUMBER((Datos!L10-Datos!V10)/Datos!V10),(Datos!L10-Datos!V10)/Datos!V10," - ")</f>
        <v>0.56521739130434778</v>
      </c>
      <c r="H10" s="235">
        <f>IF(ISNUMBER((Datos!M10-Datos!W10)/Datos!W10),(Datos!M10-Datos!W10)/Datos!W10," - ")</f>
        <v>-0.5</v>
      </c>
      <c r="I10" s="360">
        <f>IF(ISNUMBER((Tasas!C10-Datos!BE10)/Datos!BE10),(Tasas!C10-Datos!BE10)/Datos!BE10," - ")</f>
        <v>3.5533596837944668</v>
      </c>
      <c r="J10" s="359">
        <f>IF(ISNUMBER((Tasas!D10-Datos!BF10)/Datos!BF10),(Tasas!D10-Datos!BF10)/Datos!BF10," - ")</f>
        <v>0.45454545454545459</v>
      </c>
      <c r="K10" s="361">
        <f>IF(ISNUMBER((Tasas!E10-Datos!BG10)/Datos!BG10),(Tasas!E10-Datos!BG10)/Datos!BG10," - ")</f>
        <v>2.0955710955710956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-0.5049180327868853</v>
      </c>
      <c r="I11" s="360">
        <f>IF(ISNUMBER((Tasas!C11-Datos!BE11)/Datos!BE11),(Tasas!C11-Datos!BE11)/Datos!BE11," - ")</f>
        <v>0.53953232893910874</v>
      </c>
      <c r="J11" s="359">
        <f>IF(ISNUMBER((Tasas!D11-Datos!BF11)/Datos!BF11),(Tasas!D11-Datos!BF11)/Datos!BF11," - ")</f>
        <v>-0.62350208570345089</v>
      </c>
      <c r="K11" s="361">
        <f>IF(ISNUMBER((Tasas!E11-Datos!BG11)/Datos!BG11),(Tasas!E11-Datos!BG11)/Datos!BG11," - ")</f>
        <v>0.31327825183981223</v>
      </c>
      <c r="M11" t="e">
        <f>IF(Monitorios="SI",Datos!CE11,0)</f>
        <v>#REF!</v>
      </c>
      <c r="N11" t="e">
        <f>IF(Monitorios="SI",Datos!CF11,0)</f>
        <v>#REF!</v>
      </c>
      <c r="O11" t="e">
        <f>IF(Monitorios="SI",Datos!CG11,0)</f>
        <v>#REF!</v>
      </c>
      <c r="P11" t="e">
        <f>IF(Monitorios="SI",Datos!CH11,0)</f>
        <v>#REF!</v>
      </c>
      <c r="Q11">
        <f>IF(J_V="SI",0,Datos!AG11)</f>
        <v>104</v>
      </c>
      <c r="R11">
        <f>IF(J_V="SI",0,Datos!AH11)</f>
        <v>360</v>
      </c>
      <c r="S11">
        <f>IF(J_V="SI",0,Datos!AI11)</f>
        <v>380</v>
      </c>
      <c r="T11">
        <f>IF(J_V="SI",0,Datos!AJ11)</f>
        <v>84</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-0.24452954048140044</v>
      </c>
      <c r="I14" s="367">
        <f>IF(ISNUMBER((Tasas!C14-Datos!BE14)/Datos!BE14),(Tasas!C14-Datos!BE14)/Datos!BE14," - ")</f>
        <v>0.57665895036618087</v>
      </c>
      <c r="J14" s="365">
        <f>IF(ISNUMBER((Tasas!D14-Datos!BF14)/Datos!BF14),(Tasas!D14-Datos!BF14)/Datos!BF14," - ")</f>
        <v>-0.22078833325582584</v>
      </c>
      <c r="K14" s="368">
        <f>IF(ISNUMBER((Tasas!E14-Datos!BG14)/Datos!BG14),(Tasas!E14-Datos!BG14)/Datos!BG14," - ")</f>
        <v>0.37940722723152281</v>
      </c>
      <c r="M14" t="e">
        <f>IF(Monitorios="SI",Datos!CE14,0)</f>
        <v>#REF!</v>
      </c>
      <c r="N14" t="e">
        <f>IF(Monitorios="SI",Datos!CF14,0)</f>
        <v>#REF!</v>
      </c>
      <c r="O14" t="e">
        <f>IF(Monitorios="SI",Datos!CG14,0)</f>
        <v>#REF!</v>
      </c>
      <c r="P14" t="e">
        <f>IF(Monitorios="SI",Datos!CH14,0)</f>
        <v>#REF!</v>
      </c>
      <c r="Q14">
        <f>IF(J_V="SI",0,Datos!AG14)</f>
        <v>528</v>
      </c>
      <c r="R14">
        <f>IF(J_V="SI",0,Datos!AH14)</f>
        <v>648</v>
      </c>
      <c r="S14">
        <f>IF(J_V="SI",0,Datos!AI14)</f>
        <v>721</v>
      </c>
      <c r="T14">
        <f>IF(J_V="SI",0,Datos!AJ14)</f>
        <v>427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0.19786344635392475</v>
      </c>
      <c r="E16" s="358">
        <f>IF(ISNUMBER(
   IF(D_I="SI",(Datos!J16-Datos!T16)/Datos!T16,(Datos!J16+Datos!AD16-(Datos!T16+Datos!AL16))/(Datos!T16+Datos!AL16))
     ),IF(D_I="SI",(Datos!J16-Datos!T16)/Datos!T16,(Datos!J16+Datos!AD16-(Datos!T16+Datos!AL16))/(Datos!T16+Datos!AL16))," - ")</f>
        <v>3.5749751737835157E-2</v>
      </c>
      <c r="F16" s="358">
        <f>IF(ISNUMBER(
   IF(D_I="SI",(Datos!K16-Datos!U16)/Datos!U16,(Datos!K16+Datos!AE16-(Datos!U16+Datos!AM16))/(Datos!U16+Datos!AM16))
     ),IF(D_I="SI",(Datos!K16-Datos!U16)/Datos!U16,(Datos!K16+Datos!AE16-(Datos!U16+Datos!AM16))/(Datos!U16+Datos!AM16))," - ")</f>
        <v>-0.10660098522167488</v>
      </c>
      <c r="G16" s="359">
        <f>IF(ISNUMBER(
   IF(D_I="SI",(Datos!L16-Datos!V16)/Datos!V16,(Datos!L16+Datos!AF16-(Datos!V16+Datos!AN16))/(Datos!V16+Datos!AN16))
     ),IF(D_I="SI",(Datos!L16-Datos!V16)/Datos!V16,(Datos!L16+Datos!AF16-(Datos!V16+Datos!AN16))/(Datos!V16+Datos!AN16))," - ")</f>
        <v>0.44026034402603442</v>
      </c>
      <c r="H16" s="235">
        <f>IF(ISNUMBER((Datos!M16-Datos!W16)/Datos!W16),(Datos!M16-Datos!W16)/Datos!W16," - ")</f>
        <v>-0.1555891238670695</v>
      </c>
      <c r="I16" s="360">
        <f>IF(ISNUMBER((Tasas!C16-Datos!BE16)/Datos!BE16),(Tasas!C16-Datos!BE16)/Datos!BE16," - ")</f>
        <v>0.61211319936747344</v>
      </c>
      <c r="J16" s="359">
        <f>IF(ISNUMBER((Tasas!D16-Datos!BF16)/Datos!BF16),(Tasas!D16-Datos!BF16)/Datos!BF16," - ")</f>
        <v>-5.4833437058971791E-2</v>
      </c>
      <c r="K16" s="361">
        <f>IF(ISNUMBER((Tasas!E16-Datos!BG16)/Datos!BG16),(Tasas!E16-Datos!BG16)/Datos!BG16," - ")</f>
        <v>0.21368745733405109</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1.4489795918367347</v>
      </c>
      <c r="E18" s="358">
        <f>IF(ISNUMBER(
   IF(D_I="SI",(Datos!J18-Datos!T18)/Datos!T18,(Datos!J18+Datos!AD18-(Datos!T18+Datos!AL18))/(Datos!T18+Datos!AL18))
     ),IF(D_I="SI",(Datos!J18-Datos!T18)/Datos!T18,(Datos!J18+Datos!AD18-(Datos!T18+Datos!AL18))/(Datos!T18+Datos!AL18))," - ")</f>
        <v>-4.807692307692308E-2</v>
      </c>
      <c r="F18" s="358">
        <f>IF(ISNUMBER(
   IF(D_I="SI",(Datos!K18-Datos!U18)/Datos!U18,(Datos!K18+Datos!AE18-(Datos!U18+Datos!AM18))/(Datos!U18+Datos!AM18))
     ),IF(D_I="SI",(Datos!K18-Datos!U18)/Datos!U18,(Datos!K18+Datos!AE18-(Datos!U18+Datos!AM18))/(Datos!U18+Datos!AM18))," - ")</f>
        <v>-2.247191011235955E-2</v>
      </c>
      <c r="G18" s="359">
        <f>IF(ISNUMBER(
   IF(D_I="SI",(Datos!L18-Datos!V18)/Datos!V18,(Datos!L18+Datos!AF18-(Datos!V18+Datos!AN18))/(Datos!V18+Datos!AN18))
     ),IF(D_I="SI",(Datos!L18-Datos!V18)/Datos!V18,(Datos!L18+Datos!AF18-(Datos!V18+Datos!AN18))/(Datos!V18+Datos!AN18))," - ")</f>
        <v>0.93006993006993011</v>
      </c>
      <c r="H18" s="235">
        <f>IF(ISNUMBER((Datos!M18-Datos!W18)/Datos!W18),(Datos!M18-Datos!W18)/Datos!W18," - ")</f>
        <v>-2.6315789473684209E-2</v>
      </c>
      <c r="I18" s="360">
        <f>IF(ISNUMBER((Tasas!C18-Datos!BE18)/Datos!BE18),(Tasas!C18-Datos!BE18)/Datos!BE18," - ")</f>
        <v>0.9744393537496987</v>
      </c>
      <c r="J18" s="359">
        <f>IF(ISNUMBER((Tasas!D18-Datos!BF18)/Datos!BF18),(Tasas!D18-Datos!BF18)/Datos!BF18," - ")</f>
        <v>-3.9322444041136216E-3</v>
      </c>
      <c r="K18" s="361">
        <f>IF(ISNUMBER((Tasas!E18-Datos!BG18)/Datos!BG18),(Tasas!E18-Datos!BG18)/Datos!BG18," - ")</f>
        <v>0.33986543313709006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0.25233229675699687</v>
      </c>
      <c r="E20" s="364">
        <f>IF(ISNUMBER(
   IF(D_I="SI",(Datos!J20-Datos!T20)/Datos!T20,(Datos!J20+Datos!AD20-(Datos!T20+Datos!AL20))/(Datos!T20+Datos!AL20))
     ),IF(D_I="SI",(Datos!J20-Datos!T20)/Datos!T20,(Datos!J20+Datos!AD20-(Datos!T20+Datos!AL20))/(Datos!T20+Datos!AL20))," - ")</f>
        <v>3.0858425285206659E-2</v>
      </c>
      <c r="F20" s="364">
        <f>IF(ISNUMBER(
   IF(D_I="SI",(Datos!K20-Datos!U20)/Datos!U20,(Datos!K20+Datos!AE20-(Datos!U20+Datos!AM20))/(Datos!U20+Datos!AM20))
     ),IF(D_I="SI",(Datos!K20-Datos!U20)/Datos!U20,(Datos!K20+Datos!AE20-(Datos!U20+Datos!AM20))/(Datos!U20+Datos!AM20))," - ")</f>
        <v>-0.10239610632721827</v>
      </c>
      <c r="G20" s="365">
        <f>IF(ISNUMBER(
   IF(D_I="SI",(Datos!L20-Datos!V20)/Datos!V20,(Datos!L20+Datos!AF20-(Datos!V20+Datos!AN20))/(Datos!V20+Datos!AN20))
     ),IF(D_I="SI",(Datos!L20-Datos!V20)/Datos!V20,(Datos!L20+Datos!AF20-(Datos!V20+Datos!AN20))/(Datos!V20+Datos!AN20))," - ")</f>
        <v>0.47079337401918048</v>
      </c>
      <c r="H20" s="366">
        <f>IF(ISNUMBER((Datos!M20-Datos!W20)/Datos!W20),(Datos!M20-Datos!W20)/Datos!W20," - ")</f>
        <v>-0.14857142857142858</v>
      </c>
      <c r="I20" s="367">
        <f>IF(ISNUMBER((Tasas!C20-Datos!BE20)/Datos!BE20),(Tasas!C20-Datos!BE20)/Datos!BE20," - ")</f>
        <v>0.63857731053398581</v>
      </c>
      <c r="J20" s="365">
        <f>IF(ISNUMBER((Tasas!D20-Datos!BF20)/Datos!BF20),(Tasas!D20-Datos!BF20)/Datos!BF20," - ")</f>
        <v>-5.1442872039326744E-2</v>
      </c>
      <c r="K20" s="368">
        <f>IF(ISNUMBER((Tasas!E20-Datos!BG20)/Datos!BG20),(Tasas!E20-Datos!BG20)/Datos!BG20," - ")</f>
        <v>0.22155525807927606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-8.9799532030607736E-3</v>
      </c>
      <c r="E21" s="373">
        <f>IF(ISNUMBER(
   IF(J_V="SI",(Datos!J21-Datos!T21)/Datos!T21,(Datos!J21+Datos!Z21-(Datos!T21+Datos!AH21))/(Datos!T21+Datos!AH21))
     ),IF(J_V="SI",(Datos!J21-Datos!T21)/Datos!T21,(Datos!J21+Datos!Z21-(Datos!T21+Datos!AH21))/(Datos!T21+Datos!AH21))," - ")</f>
        <v>4.6355792179181197E-2</v>
      </c>
      <c r="F21" s="373">
        <f>IF(ISNUMBER(
   IF(J_V="SI",(Datos!K21-Datos!U21)/Datos!U21,(Datos!K21+Datos!AA21-(Datos!U21+Datos!AI21))/(Datos!U21+Datos!AI21))
     ),IF(J_V="SI",(Datos!K21-Datos!U21)/Datos!U21,(Datos!K21+Datos!AA21-(Datos!U21+Datos!AI21))/(Datos!U21+Datos!AI21))," - ")</f>
        <v>-0.20472041282463413</v>
      </c>
      <c r="G21" s="374">
        <f>IF(ISNUMBER(
   IF(J_V="SI",(Datos!L21-Datos!V21)/Datos!V21,(Datos!L21+Datos!AB21-(Datos!V21+Datos!AJ21))/(Datos!V21+Datos!AJ21))
     ),IF(J_V="SI",(Datos!L21-Datos!V21)/Datos!V21,(Datos!L21+Datos!AB21-(Datos!V21+Datos!AJ21))/(Datos!V21+Datos!AJ21))," - ")</f>
        <v>0.17472992015030531</v>
      </c>
      <c r="H21" s="375">
        <f>IF(ISNUMBER((Datos!M21-Datos!W21)/Datos!W21),(Datos!M21-Datos!W21)/Datos!W21," - ")</f>
        <v>-0.21795886075949367</v>
      </c>
      <c r="I21" s="372">
        <f>IF(ISNUMBER((Tasas!C21-Datos!BE21)/Datos!BE21),(Tasas!C21-Datos!BE21)/Datos!BE21," - ")</f>
        <v>0.47712821892317409</v>
      </c>
      <c r="J21" s="373">
        <f>IF(ISNUMBER((Tasas!D21-Datos!BF21)/Datos!BF21),(Tasas!D21-Datos!BF21)/Datos!BF21," - ")</f>
        <v>-0.22144747880004098</v>
      </c>
      <c r="K21" s="374">
        <f>IF(ISNUMBER((Tasas!E21-Datos!BG21)/Datos!BG21),(Tasas!E21-Datos!BG21)/Datos!BG21," - ")</f>
        <v>0.27451019557469925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0.60911844133129511</v>
      </c>
      <c r="E23" s="283">
        <f t="shared" si="1"/>
        <v>0.12960238564588999</v>
      </c>
      <c r="F23" s="283">
        <f t="shared" si="1"/>
        <v>0.29212242034672831</v>
      </c>
      <c r="G23" s="284">
        <f t="shared" si="1"/>
        <v>0.22535678844655924</v>
      </c>
      <c r="H23" s="290">
        <f t="shared" si="1"/>
        <v>0.18261825938632775</v>
      </c>
      <c r="I23" s="282">
        <f t="shared" si="1"/>
        <v>1.1065574424272855</v>
      </c>
      <c r="J23" s="283">
        <f t="shared" si="1"/>
        <v>0.31843606181214629</v>
      </c>
      <c r="K23" s="284">
        <f t="shared" si="1"/>
        <v>0.67898355777680253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SLv2miZMSe0uQsjRuivljnhH8pvPjwra9V4ElrfLRl2OtbWo2L6YiLrq7kkKeLg4Rd4LnanAOqk5hLw7/ln99w==" saltValue="0bI8qBqvQ6zmOAWI1Uwj6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